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8D7A07B-0117-4E19-ADEC-7F5909C993EF}" xr6:coauthVersionLast="47" xr6:coauthVersionMax="47" xr10:uidLastSave="{00000000-0000-0000-0000-000000000000}"/>
  <bookViews>
    <workbookView xWindow="1103" yWindow="1103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" i="2" l="1"/>
  <c r="C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E87" i="3" l="1"/>
  <c r="D101" i="3" s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<sst xmlns="http://schemas.openxmlformats.org/spreadsheetml/2006/main" count="261" uniqueCount="240">
  <si>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</si>
  <si>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</si>
  <si>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</si>
  <si>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</si>
  <si>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</si>
  <si>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</si>
  <si>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</si>
  <si>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</si>
  <si>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</si>
  <si>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</si>
  <si>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</si>
  <si>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</si>
  <si>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</si>
  <si>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</si>
  <si>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</si>
  <si>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</si>
  <si>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</si>
  <si>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</si>
  <si>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</si>
  <si>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</si>
  <si>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</si>
  <si>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</si>
  <si>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</si>
  <si>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</si>
  <si>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</si>
  <si>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</si>
  <si>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</si>
  <si>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</si>
  <si>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</si>
  <si>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</si>
  <si>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</si>
  <si>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</si>
  <si>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</si>
  <si>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</si>
  <si>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</si>
  <si>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</si>
  <si>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</si>
  <si>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</si>
  <si>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</si>
  <si>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</si>
  <si>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</si>
  <si>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</si>
  <si>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</si>
  <si>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</si>
  <si>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</si>
  <si>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</si>
  <si>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</si>
  <si>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</si>
  <si>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</si>
  <si>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</si>
  <si>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</si>
  <si>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</si>
  <si>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</si>
  <si>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</si>
  <si>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</si>
  <si>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</si>
  <si>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</si>
  <si>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</si>
  <si>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</si>
  <si>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</si>
  <si>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</si>
  <si>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</si>
  <si>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</si>
  <si>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</si>
  <si>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</si>
  <si>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</si>
  <si>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</si>
  <si>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</si>
  <si>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</si>
  <si>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</si>
  <si>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</si>
  <si>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</si>
  <si>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</si>
  <si>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</si>
  <si>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</si>
  <si>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</si>
  <si>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</si>
  <si>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</si>
  <si>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</si>
  <si>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</si>
  <si>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</si>
  <si>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</si>
  <si>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</si>
  <si>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</si>
  <si>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</si>
  <si>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</si>
  <si>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</si>
  <si>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</si>
  <si>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</si>
  <si>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</si>
  <si>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</si>
  <si>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</si>
  <si>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</si>
  <si>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</si>
  <si>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</si>
  <si>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</si>
  <si>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</si>
  <si>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</si>
  <si>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</si>
  <si>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</si>
  <si>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</si>
  <si>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</si>
  <si>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</si>
  <si>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</si>
  <si>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</si>
  <si>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</si>
  <si>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</si>
  <si>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</si>
  <si>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</si>
  <si>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</si>
  <si>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</si>
  <si>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</si>
  <si>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</si>
  <si>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</si>
  <si>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</si>
  <si>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</si>
  <si>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</si>
  <si>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</si>
  <si>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</si>
  <si>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</si>
  <si>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</si>
  <si>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</si>
  <si>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</si>
  <si>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</si>
  <si>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</si>
  <si>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</si>
  <si>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</si>
  <si>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</si>
  <si>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</si>
  <si>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</si>
  <si>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</si>
  <si>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</si>
  <si>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</si>
  <si>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</si>
  <si>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</si>
  <si>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</si>
  <si>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</si>
  <si>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</si>
  <si>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</si>
  <si>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</si>
  <si>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</si>
  <si>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</si>
  <si>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</si>
  <si>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</si>
  <si>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</si>
  <si>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</si>
  <si>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</si>
  <si>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</si>
  <si>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</si>
  <si>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</si>
  <si>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</si>
  <si>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</si>
  <si>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</si>
  <si>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</si>
  <si>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</si>
  <si>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</si>
  <si>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</si>
  <si>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</si>
  <si>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</si>
  <si>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</si>
  <si>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</si>
  <si>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</si>
  <si>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</si>
  <si>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</si>
  <si>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</si>
  <si>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</si>
  <si>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</si>
  <si>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</si>
  <si>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</si>
  <si>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</si>
  <si>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</si>
  <si>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</si>
  <si>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</si>
  <si>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</si>
  <si>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</si>
  <si>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</si>
  <si>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</si>
  <si>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</si>
  <si>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</si>
  <si>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</si>
  <si>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</si>
  <si>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</si>
  <si>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</si>
  <si>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</si>
  <si>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</si>
  <si>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</si>
  <si>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</si>
  <si>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</si>
  <si>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</si>
  <si>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</si>
  <si>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</si>
  <si>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</si>
  <si>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</si>
  <si>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</si>
  <si>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</si>
  <si>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</si>
  <si>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</si>
  <si>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</si>
  <si>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</si>
  <si>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</si>
  <si>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</si>
  <si>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</si>
  <si>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</si>
  <si>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</si>
  <si>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</si>
  <si>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</si>
  <si>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</si>
  <si>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</si>
  <si>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</si>
  <si>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</si>
  <si>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</si>
  <si>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</si>
  <si>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</si>
  <si>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</si>
  <si>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</si>
  <si>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</si>
  <si>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</si>
  <si>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</si>
  <si>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</si>
  <si>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</si>
  <si>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</si>
  <si>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</si>
  <si>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</si>
  <si>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</si>
  <si>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</si>
  <si>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</si>
  <si>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</si>
  <si>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</si>
  <si>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</si>
  <si>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</si>
  <si>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</si>
  <si>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</si>
  <si>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</si>
  <si>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</si>
  <si>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</si>
  <si>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3968.HK</t>
    <phoneticPr fontId="20" type="noConversion"/>
  </si>
  <si>
    <t>招商银行</t>
    <phoneticPr fontId="20" type="noConversion"/>
  </si>
  <si>
    <t>C0014</t>
    <phoneticPr fontId="20" type="noConversion"/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</si>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</sst>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88" zoomScaleNormal="100" workbookViewId="0">
      <selection activeCell="C8" sqref="C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235</v>
      </c>
      <c r="D3" s="212"/>
      <c r="E3" s="90"/>
      <c r="F3" s="3" t="s">
        <v>1</v>
      </c>
      <c r="G3" s="142">
        <v>38.450000762939453</v>
      </c>
      <c r="H3" s="144" t="s">
        <v>2</v>
      </c>
    </row>
    <row r="4" spans="1:10" ht="15.75" customHeight="1" x14ac:dyDescent="0.5">
      <c r="B4" s="35" t="s">
        <v>217</v>
      </c>
      <c r="C4" s="213" t="s">
        <v>236</v>
      </c>
      <c r="D4" s="214"/>
      <c r="E4" s="90"/>
      <c r="F4" s="3" t="s">
        <v>3</v>
      </c>
      <c r="G4" s="217">
        <v>25219845601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969703.08259966515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238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237</v>
      </c>
      <c r="E7" s="90"/>
      <c r="F7" s="35" t="s">
        <v>6</v>
      </c>
      <c r="G7" s="143">
        <v>1.0842636823654175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1.8627626781429586E-2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0.25828274030620524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0.34356507928375646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6.952344390566538E-2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0.13730702860953747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0.40499783366539494</v>
      </c>
    </row>
    <row r="26" spans="1:8" ht="15.75" customHeight="1" x14ac:dyDescent="0.4">
      <c r="B26" s="148" t="s">
        <v>191</v>
      </c>
      <c r="C26" s="201">
        <f>Fin_Analysis!F83</f>
        <v>0.34952455362860874</v>
      </c>
      <c r="F26" s="151" t="s">
        <v>215</v>
      </c>
      <c r="G26" s="208">
        <f>Fin_Analysis!E87*Exchange_Rate/G3</f>
        <v>5.5609049133895076E-2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23.582735091447827</v>
      </c>
      <c r="D29" s="139">
        <f>IF(Fin_Analysis!C106="Profit",Fin_Analysis!F98,IF(Fin_Analysis!C106="Dividend",Fin_Analysis!F101,Fin_Analysis!F104))</f>
        <v>39.304558485746377</v>
      </c>
      <c r="E29" s="90"/>
      <c r="F29" s="141">
        <f>IF(Fin_Analysis!C106="Profit",Fin_Analysis!D98,IF(Fin_Analysis!C106="Dividend",Fin_Analysis!D101,Fin_Analysis!D104))</f>
        <v>31.443646788597103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0" zoomScaleNormal="100" workbookViewId="0">
      <pane xSplit="2" topLeftCell="C1" activePane="topRight" state="frozen"/>
      <selection activeCell="A4" sqref="A4"/>
      <selection pane="topRight" activeCell="D19" sqref="D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175914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375610+92834</f>
        <v>468444</v>
      </c>
      <c r="D6" s="169">
        <f>353380+103372</f>
        <v>456752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2.5598136406627559E-2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v>8726</v>
      </c>
      <c r="D8" s="170">
        <v>9097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459718</v>
      </c>
      <c r="D9" s="171">
        <f t="shared" si="2"/>
        <v>447655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120991</v>
      </c>
      <c r="D10" s="170">
        <v>122061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338727</v>
      </c>
      <c r="D13" s="171">
        <f t="shared" ref="D13:M13" si="4">IF(D6="","",(D9-D10+D12))</f>
        <v>325594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160941</v>
      </c>
      <c r="D17" s="170">
        <v>135145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1404</v>
      </c>
      <c r="D18" s="170">
        <v>1282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175914</v>
      </c>
      <c r="D19" s="80">
        <f>IF(D6="","",D9-D10-D17-MAX(D18/(1-Fin_Analysis!$F$84),0))</f>
        <v>188739.66666666666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-6.7954272110261171E-2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175914</v>
      </c>
      <c r="D21" s="80">
        <f>IF(D6="","",D13-D14-MAX(D15,0)-MAX(D16,0)-D17-MAX(D18/(1-Fin_Analysis!$F$84),0))</f>
        <v>188739.66666666666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-6.7954272110261171E-2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0.2816462586776648</v>
      </c>
      <c r="D23" s="174">
        <f t="shared" si="7"/>
        <v>0.30991599379969875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131935.5</v>
      </c>
      <c r="D24" s="80">
        <f>IF(D6="","",D21*(1-Fin_Analysis!$F$84))</f>
        <v>141554.75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-6.7954272110261227E-2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1.2628319973433106E-2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1.8627626781429586E-2</v>
      </c>
      <c r="D42" s="178">
        <f t="shared" si="22"/>
        <v>1.9916716292430029E-2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0.25828274030620524</v>
      </c>
      <c r="D43" s="174">
        <f t="shared" si="23"/>
        <v>0.26723692507093566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0.34356507928375646</v>
      </c>
      <c r="D46" s="174">
        <f t="shared" si="26"/>
        <v>0.29588266718043926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3.9962087250557162E-3</v>
      </c>
      <c r="D47" s="174">
        <f>IF(D6="","",MAX(D18,0)/(1-Fin_Analysis!$F$84)/D6)</f>
        <v>3.7423663899300566E-3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0.37552834490355302</v>
      </c>
      <c r="D48" s="174">
        <f t="shared" si="27"/>
        <v>0.41322132506626497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0.56735276788687661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20.647624902869929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0.18151987840477465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0.91488454585763501</v>
      </c>
      <c r="D55" s="174">
        <f t="shared" si="32"/>
        <v>0.71603920038006497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4" zoomScaleNormal="100" workbookViewId="0">
      <selection activeCell="C103" sqref="C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4047188.9777345182</v>
      </c>
      <c r="E6" s="56">
        <f>1-D6/D3</f>
        <v>0.68538393434598766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173.99868713126298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468444</v>
      </c>
      <c r="D74" s="181"/>
      <c r="E74" s="182">
        <f>C74</f>
        <v>468444</v>
      </c>
      <c r="F74" s="181"/>
    </row>
    <row r="75" spans="1:9" ht="15" customHeight="1" x14ac:dyDescent="0.4">
      <c r="B75" s="109" t="s">
        <v>109</v>
      </c>
      <c r="C75" s="80">
        <f>Data!C8</f>
        <v>8726</v>
      </c>
      <c r="D75" s="183">
        <f>C75/$C$74</f>
        <v>1.8627626781429586E-2</v>
      </c>
      <c r="E75" s="182">
        <f>D75*E74</f>
        <v>8726</v>
      </c>
      <c r="F75" s="184">
        <f>E75/$E$74</f>
        <v>1.8627626781429586E-2</v>
      </c>
    </row>
    <row r="76" spans="1:9" ht="15" customHeight="1" x14ac:dyDescent="0.4">
      <c r="B76" s="35" t="s">
        <v>96</v>
      </c>
      <c r="C76" s="185">
        <f>C74-C75</f>
        <v>459718</v>
      </c>
      <c r="D76" s="186"/>
      <c r="E76" s="187">
        <f>E74-E75</f>
        <v>459718</v>
      </c>
      <c r="F76" s="186"/>
    </row>
    <row r="77" spans="1:9" ht="15" customHeight="1" x14ac:dyDescent="0.4">
      <c r="B77" s="109" t="s">
        <v>133</v>
      </c>
      <c r="C77" s="80">
        <f>Data!C10-Data!C12</f>
        <v>120991</v>
      </c>
      <c r="D77" s="183">
        <f>C77/$C$74</f>
        <v>0.25828274030620524</v>
      </c>
      <c r="E77" s="182">
        <f>D77*E74</f>
        <v>120991</v>
      </c>
      <c r="F77" s="184">
        <f>E77/$E$74</f>
        <v>0.25828274030620524</v>
      </c>
    </row>
    <row r="78" spans="1:9" ht="15" customHeight="1" x14ac:dyDescent="0.4">
      <c r="B78" s="35" t="s">
        <v>97</v>
      </c>
      <c r="C78" s="185">
        <f>C76-C77</f>
        <v>338727</v>
      </c>
      <c r="D78" s="186"/>
      <c r="E78" s="187">
        <f>E76-E77</f>
        <v>338727</v>
      </c>
      <c r="F78" s="186"/>
    </row>
    <row r="79" spans="1:9" ht="15" customHeight="1" x14ac:dyDescent="0.4">
      <c r="B79" s="109" t="s">
        <v>129</v>
      </c>
      <c r="C79" s="80">
        <f>Data!C17</f>
        <v>160941</v>
      </c>
      <c r="D79" s="183">
        <f>C79/$C$74</f>
        <v>0.34356507928375646</v>
      </c>
      <c r="E79" s="182">
        <f>C79</f>
        <v>160941</v>
      </c>
      <c r="F79" s="184">
        <f>E79/$E$74</f>
        <v>0.34356507928375646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14053.32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1404</v>
      </c>
      <c r="D82" s="183">
        <f>C82/$C$74</f>
        <v>2.9971565437917872E-3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176382</v>
      </c>
      <c r="D83" s="189">
        <f>C83/$C$74</f>
        <v>0.37652739708481697</v>
      </c>
      <c r="E83" s="190">
        <f>E78-E79-E80-E81-E82</f>
        <v>163732.68</v>
      </c>
      <c r="F83" s="191">
        <f t="shared" si="8"/>
        <v>0.34952455362860874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132286.5</v>
      </c>
      <c r="D85" s="191">
        <f>C85/$C$74</f>
        <v>0.2823955478136127</v>
      </c>
      <c r="E85" s="196">
        <f>E83*(1-F84)</f>
        <v>122799.51</v>
      </c>
      <c r="F85" s="191">
        <f>E85/$E$74</f>
        <v>0.26214341522145657</v>
      </c>
    </row>
    <row r="86" spans="1:8" ht="15" customHeight="1" x14ac:dyDescent="0.4">
      <c r="B86" s="90" t="s">
        <v>174</v>
      </c>
      <c r="C86" s="197">
        <f>C85*Data!C4/Common_Shares</f>
        <v>5.245333460517088</v>
      </c>
      <c r="D86" s="181"/>
      <c r="E86" s="198">
        <f>E85*Data!C4/Common_Shares</f>
        <v>4.8691618474908838</v>
      </c>
      <c r="F86" s="181"/>
    </row>
    <row r="87" spans="1:8" ht="15" customHeight="1" x14ac:dyDescent="0.4">
      <c r="B87" s="89" t="s">
        <v>175</v>
      </c>
      <c r="C87" s="199">
        <v>1.972</v>
      </c>
      <c r="D87" s="191">
        <f>C87/C86</f>
        <v>0.37595321915064656</v>
      </c>
      <c r="E87" s="200">
        <f>C87</f>
        <v>1.972</v>
      </c>
      <c r="F87" s="191">
        <f>E87/E86</f>
        <v>0.40499783366539494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239</v>
      </c>
      <c r="D91" s="221" t="s">
        <v>219</v>
      </c>
      <c r="E91" s="221"/>
      <c r="F91" s="29">
        <f>E86*Exchange_Rate/Dashboard!G3</f>
        <v>0.13730702860953747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105.28346117241993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1888395.7385614153</v>
      </c>
      <c r="D95" s="132">
        <f>PV(C92,D92,0,-F92)*Exchange_Rate</f>
        <v>74.877371116282248</v>
      </c>
      <c r="E95" s="132">
        <f>PV(15%,D92,0,-F92)*Exchange_Rate</f>
        <v>56.755226775445387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1316564.1403738977</v>
      </c>
      <c r="D97" s="162">
        <f>C97*Data!$C$4/Common_Shares</f>
        <v>52.203497245902817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3204959.8789353129</v>
      </c>
      <c r="D98" s="114">
        <f>MAX(C98*Data!$C$4/Common_Shares,0)</f>
        <v>127.08086836218506</v>
      </c>
      <c r="E98" s="114">
        <f>E95*Exchange_Rate-D96+D97</f>
        <v>113.74112842293158</v>
      </c>
      <c r="F98" s="114">
        <f>D98*1.25</f>
        <v>158.85108545273133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793003.91714079841</v>
      </c>
      <c r="D101" s="132">
        <f>E87/(C92-D100)*Exchange_Rate</f>
        <v>31.443646788597103</v>
      </c>
      <c r="E101" s="114">
        <f>D101*(1-25%)</f>
        <v>23.582735091447827</v>
      </c>
      <c r="F101" s="114">
        <f>D101*1.25</f>
        <v>39.304558485746377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1998981.8980380555</v>
      </c>
      <c r="D104" s="132">
        <f>(D98+D101)/2</f>
        <v>79.262257575391075</v>
      </c>
      <c r="E104" s="114">
        <f>D104*(1-25%)</f>
        <v>59.44669318154331</v>
      </c>
      <c r="F104" s="114">
        <f>D104*1.25</f>
        <v>99.07782196923884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