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C9E19CF-85A3-436A-981F-8D3054619C91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0" i="3"/>
  <c r="C38" i="3"/>
  <c r="C35" i="3"/>
  <c r="C11" i="3"/>
  <c r="D36" i="2"/>
  <c r="D32" i="2"/>
  <c r="D31" i="2"/>
  <c r="D27" i="2"/>
  <c r="D16" i="2"/>
  <c r="C16" i="2"/>
  <c r="D10" i="2"/>
  <c r="C10" i="2"/>
  <c r="C103" i="3" l="1"/>
  <c r="E87" i="3" l="1"/>
  <c r="C92" i="3"/>
  <c r="D101" i="3" s="1"/>
  <c r="B92" i="3" l="1"/>
  <c r="G26" i="1" l="1"/>
  <c r="D45" i="2"/>
  <c r="C82" i="3"/>
  <c r="E42" i="2"/>
  <c r="C94" i="3"/>
  <c r="C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<sst xmlns="http://schemas.openxmlformats.org/spreadsheetml/2006/main" count="253" uniqueCount="232">
  <si>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</si>
  <si>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</si>
  <si>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</si>
  <si>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</si>
  <si>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</si>
  <si>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</si>
  <si>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</si>
  <si>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</si>
  <si>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</si>
  <si>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</si>
  <si>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</si>
  <si>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</si>
  <si>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</si>
  <si>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</si>
  <si>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</si>
  <si>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</si>
  <si>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</si>
  <si>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</si>
  <si>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</si>
  <si>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</si>
  <si>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</si>
  <si>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</si>
  <si>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</si>
  <si>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</si>
  <si>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</si>
  <si>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</si>
  <si>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</si>
  <si>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</si>
  <si>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</si>
  <si>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</si>
  <si>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</si>
  <si>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</si>
  <si>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</si>
  <si>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</si>
  <si>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</si>
  <si>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</si>
  <si>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</si>
  <si>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</si>
  <si>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</si>
  <si>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</si>
  <si>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</si>
  <si>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</si>
  <si>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</si>
  <si>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</si>
  <si>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</si>
  <si>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</si>
  <si>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</si>
  <si>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</si>
  <si>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</si>
  <si>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</si>
  <si>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</si>
  <si>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</si>
  <si>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</si>
  <si>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</si>
  <si>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</si>
  <si>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</si>
  <si>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</si>
  <si>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</si>
  <si>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</si>
  <si>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</si>
  <si>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</si>
  <si>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</si>
  <si>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</si>
  <si>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</si>
  <si>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</si>
  <si>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</si>
  <si>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</si>
  <si>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</si>
  <si>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</si>
  <si>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</si>
  <si>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</si>
  <si>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</si>
  <si>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</si>
  <si>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</si>
  <si>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</si>
  <si>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</si>
  <si>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</si>
  <si>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</si>
  <si>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</si>
  <si>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</si>
  <si>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</si>
  <si>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</si>
  <si>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</si>
  <si>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</si>
  <si>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</si>
  <si>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</si>
  <si>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</si>
  <si>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</si>
  <si>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</si>
  <si>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</si>
  <si>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</si>
  <si>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</si>
  <si>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</si>
  <si>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</si>
  <si>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</si>
  <si>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</si>
  <si>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</si>
  <si>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</si>
  <si>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</si>
  <si>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</si>
  <si>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</si>
  <si>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</si>
  <si>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</si>
  <si>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</si>
  <si>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</si>
  <si>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</si>
  <si>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</si>
  <si>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</si>
  <si>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</si>
  <si>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</si>
  <si>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</si>
  <si>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</si>
  <si>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</si>
  <si>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</si>
  <si>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</si>
  <si>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</si>
  <si>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</si>
  <si>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</si>
  <si>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</si>
  <si>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</si>
  <si>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</si>
  <si>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</si>
  <si>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</si>
  <si>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</si>
  <si>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</si>
  <si>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</si>
  <si>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</si>
  <si>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</si>
  <si>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</si>
  <si>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</si>
  <si>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</si>
  <si>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</si>
  <si>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</si>
  <si>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</si>
  <si>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</si>
  <si>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</si>
  <si>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</si>
  <si>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</si>
  <si>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</si>
  <si>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</si>
  <si>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</si>
  <si>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</si>
  <si>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</si>
  <si>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</si>
  <si>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</si>
  <si>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</si>
  <si>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</si>
  <si>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</si>
  <si>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</si>
  <si>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</si>
  <si>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</si>
  <si>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</si>
  <si>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</si>
  <si>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</si>
  <si>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</si>
  <si>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</si>
  <si>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</si>
  <si>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</si>
  <si>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</si>
  <si>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</si>
  <si>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</si>
  <si>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</si>
  <si>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</si>
  <si>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</si>
  <si>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</si>
  <si>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</si>
  <si>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</si>
  <si>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</si>
  <si>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</si>
  <si>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</si>
  <si>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</si>
  <si>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</si>
  <si>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</si>
  <si>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</si>
  <si>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</si>
  <si>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</si>
  <si>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</si>
  <si>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</si>
  <si>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</si>
  <si>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</si>
  <si>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</si>
  <si>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</si>
  <si>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</si>
  <si>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</si>
  <si>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</si>
  <si>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</si>
  <si>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</si>
  <si>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</si>
  <si>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</si>
  <si>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</si>
  <si>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</si>
  <si>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</si>
  <si>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</si>
  <si>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</si>
  <si>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</si>
  <si>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</si>
  <si>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</si>
  <si>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</si>
  <si>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</si>
  <si>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</si>
  <si>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</si>
  <si>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</si>
  <si>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</si>
  <si>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</si>
  <si>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</si>
  <si>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</si>
  <si>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</si>
  <si>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</si>
  <si>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</si>
  <si>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</si>
  <si>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</si>
  <si>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</si>
  <si>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</si>
  <si>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</si>
  <si>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</si>
  <si>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</si>
  <si>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</si>
  <si>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</si>
  <si>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</si>
  <si>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</si>
  <si>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</si>
  <si>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</si>
  <si>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</si>
  <si>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</si>
  <si>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</si>
  <si>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</si>
  <si>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</si>
  <si>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</si>
  <si>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</si>
  <si>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C0002</t>
    <phoneticPr fontId="20" type="noConversion"/>
  </si>
  <si>
    <t>中国飞鹤</t>
    <phoneticPr fontId="20" type="noConversion"/>
  </si>
  <si>
    <t>6186.HK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</si>
</sst>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3" sqref="C1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231</v>
      </c>
      <c r="D3" s="202"/>
      <c r="E3" s="94"/>
      <c r="F3" s="3" t="s">
        <v>1</v>
      </c>
      <c r="G3" s="169">
        <v>5.7800002098083496</v>
      </c>
      <c r="H3" s="171" t="s">
        <v>2</v>
      </c>
    </row>
    <row r="4" spans="1:10" ht="15.75" customHeight="1" x14ac:dyDescent="0.5">
      <c r="B4" s="35" t="s">
        <v>218</v>
      </c>
      <c r="C4" s="203" t="s">
        <v>230</v>
      </c>
      <c r="D4" s="204"/>
      <c r="E4" s="94"/>
      <c r="F4" s="3" t="s">
        <v>3</v>
      </c>
      <c r="G4" s="207">
        <v>9067251704</v>
      </c>
      <c r="H4" s="207"/>
      <c r="I4" s="39"/>
    </row>
    <row r="5" spans="1:10" ht="15.75" customHeight="1" x14ac:dyDescent="0.4">
      <c r="B5" s="3" t="s">
        <v>178</v>
      </c>
      <c r="C5" s="205">
        <v>45605</v>
      </c>
      <c r="D5" s="206"/>
      <c r="E5" s="34"/>
      <c r="F5" s="35" t="s">
        <v>102</v>
      </c>
      <c r="G5" s="199">
        <f>G3*G4/1000000</f>
        <v>52408.716751505111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229</v>
      </c>
      <c r="E7" s="94"/>
      <c r="F7" s="35" t="s">
        <v>6</v>
      </c>
      <c r="G7" s="170">
        <v>1.0842636823654175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0.35166796085418528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0.40660753935436778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2.7202256703967287E-3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3.2256320498000146E-2</v>
      </c>
      <c r="F23" s="178" t="s">
        <v>209</v>
      </c>
      <c r="G23" s="184">
        <f>G3/(Data!C34*Data!E3/Common_Shares*Exchange_Rate)</f>
        <v>1.7873203193436462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6.2659236337922142E-2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0.93286630876064991</v>
      </c>
    </row>
    <row r="26" spans="1:8" ht="15.75" customHeight="1" x14ac:dyDescent="0.4">
      <c r="B26" s="176" t="s">
        <v>191</v>
      </c>
      <c r="C26" s="175">
        <f>Fin_Analysis!F83</f>
        <v>0.2067479536230501</v>
      </c>
      <c r="F26" s="180" t="s">
        <v>216</v>
      </c>
      <c r="G26" s="179">
        <f>Fin_Analysis!E87*Exchange_Rate/G3</f>
        <v>5.8452690512318613E-2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4.3067394014186373</v>
      </c>
      <c r="D29" s="165">
        <f>IF(Fin_Analysis!C106="Profit",Fin_Analysis!F98,IF(Fin_Analysis!C106="Dividend",Fin_Analysis!F101,Fin_Analysis!F104))</f>
        <v>6.1980585616347641</v>
      </c>
      <c r="E29" s="94"/>
      <c r="F29" s="167">
        <f>IF(Fin_Analysis!C106="Profit",Fin_Analysis!D98,IF(Fin_Analysis!C106="Dividend",Fin_Analysis!D101,Fin_Analysis!D104))</f>
        <v>4.9584468493078111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34" sqref="D34: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19532203</v>
      </c>
      <c r="D6" s="58">
        <v>21310933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-8.3465608943540825E-2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6868850</v>
      </c>
      <c r="D8" s="92">
        <v>7360333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12663353</v>
      </c>
      <c r="D9" s="101">
        <f t="shared" si="2"/>
        <v>13950600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6709067+1762049+100862</f>
        <v>8571978</v>
      </c>
      <c r="D10" s="92">
        <f>6545373+1535012+135252</f>
        <v>8215637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3.2256320498000146E-2</v>
      </c>
      <c r="D11" s="97">
        <f t="shared" si="3"/>
        <v>2.5514462459245685E-2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630037</v>
      </c>
      <c r="D12" s="92">
        <v>543737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4721412</v>
      </c>
      <c r="D13" s="101">
        <f t="shared" ref="D13:M13" si="4">IF(D6="","",(D9-D10+D12))</f>
        <v>6278700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630037</v>
      </c>
      <c r="D15" s="92">
        <v>543737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f>5599216-5937142</f>
        <v>-337926</v>
      </c>
      <c r="D16" s="92">
        <f>8064433-7236573</f>
        <v>827860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53132</v>
      </c>
      <c r="D17" s="92">
        <v>33640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-99657</v>
      </c>
      <c r="D18" s="92">
        <v>6058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4038243</v>
      </c>
      <c r="D19" s="95">
        <f>IF(D6="","",D13-D14-MAX(D15,0)-MAX(D16,0)-D17-MAX(D18/(1-Fin_Analysis!$F$84),0))</f>
        <v>4865385.666666667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-0.17000557064438268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0.15506096521728757</v>
      </c>
      <c r="D21" s="56">
        <f t="shared" si="6"/>
        <v>0.17122850745202006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3028682.25</v>
      </c>
      <c r="D22" s="95">
        <f>IF(D6="","",D19*(1-Fin_Analysis!$F$84))</f>
        <v>3649039.25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-0.17000557064438263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35609185</v>
      </c>
      <c r="D25" s="41">
        <f t="shared" si="17"/>
        <v>36194678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22395985</v>
      </c>
      <c r="D26" s="92">
        <v>22554271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308472</v>
      </c>
      <c r="D27" s="92">
        <f>431184</f>
        <v>431184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2139247</v>
      </c>
      <c r="D28" s="92">
        <v>2258059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6712617</v>
      </c>
      <c r="D29" s="92">
        <v>7382230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1852861</v>
      </c>
      <c r="D30" s="92">
        <v>2478102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549384</v>
      </c>
      <c r="D31" s="92">
        <f>504914+87402</f>
        <v>592316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808963</v>
      </c>
      <c r="D32" s="92">
        <f>872836+171260</f>
        <v>1044096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1358347</v>
      </c>
      <c r="D33" s="95">
        <f t="shared" si="18"/>
        <v>1636412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27043707</v>
      </c>
      <c r="D34" s="92">
        <v>26334346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1426434</v>
      </c>
      <c r="D35" s="92">
        <v>1389487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19533589</v>
      </c>
      <c r="D36" s="92">
        <f>211741+3338+99866+1800+540000+8670910+10440941</f>
        <v>19968596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16075596</v>
      </c>
      <c r="D37" s="41">
        <f t="shared" ref="D37:M37" si="19">IF(D6="","",D25-D36)</f>
        <v>16226082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0.25120331463915863</v>
      </c>
      <c r="D38" s="104">
        <f t="shared" ref="D38:M38" si="20">IF(D6="","",D19/D37)</f>
        <v>0.29984969055787264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0.35166796085418528</v>
      </c>
      <c r="D40" s="61">
        <f t="shared" si="21"/>
        <v>0.34537826194657922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0.40660753935436778</v>
      </c>
      <c r="D41" s="56">
        <f t="shared" si="22"/>
        <v>0.35999831635714868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3.2256320498000146E-2</v>
      </c>
      <c r="D42" s="56">
        <f t="shared" si="23"/>
        <v>2.5514462459245685E-2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3.8846727170509146E-2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2.7202256703967287E-3</v>
      </c>
      <c r="D44" s="56">
        <f t="shared" si="25"/>
        <v>1.5785324837725313E-3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3.7902298005128792E-4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0.2067479536230501</v>
      </c>
      <c r="D46" s="56">
        <f t="shared" si="26"/>
        <v>0.22830467660269341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1.5792995802879992E-2</v>
      </c>
      <c r="D48" s="61">
        <f t="shared" si="27"/>
        <v>2.0232994960849439E-2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0.1095241023247608</v>
      </c>
      <c r="D49" s="56">
        <f t="shared" si="28"/>
        <v>0.10595777294217949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0.24054125361195433</v>
      </c>
      <c r="D51" s="61">
        <f t="shared" ref="D51:M51" si="29">IF(D34="","",(D25-D34)/D25)</f>
        <v>0.27242491285597292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2.9729097204175368</v>
      </c>
      <c r="D52" s="60">
        <f t="shared" si="30"/>
        <v>2.9732033660634771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1.3157207230966536E-2</v>
      </c>
      <c r="D53" s="56">
        <f t="shared" si="31"/>
        <v>6.9141487036622033E-3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3.3364014362803656</v>
      </c>
      <c r="D54" s="62">
        <f t="shared" si="32"/>
        <v>3.055211094750502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">
    <cfRule type="containsBlanks" dxfId="7" priority="3">
      <formula>LEN(TRIM(C6))=0</formula>
    </cfRule>
  </conditionalFormatting>
  <conditionalFormatting sqref="C23:M23">
    <cfRule type="containsBlanks" dxfId="6" priority="11">
      <formula>LEN(TRIM(C23))=0</formula>
    </cfRule>
  </conditionalFormatting>
  <conditionalFormatting sqref="C25:M38">
    <cfRule type="containsBlanks" dxfId="5" priority="1">
      <formula>LEN(TRIM(C25))=0</formula>
    </cfRule>
  </conditionalFormatting>
  <conditionalFormatting sqref="D22:M22">
    <cfRule type="containsBlanks" dxfId="4" priority="10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7" zoomScaleNormal="100" workbookViewId="0">
      <selection activeCell="D99" sqref="D99"/>
    </sheetView>
  </sheetViews>
  <sheetFormatPr defaultColWidth="12.33203125" defaultRowHeight="15" customHeight="1" x14ac:dyDescent="0.4"/>
  <cols>
    <col min="1" max="1" width="2.33203125" style="1" customWidth="1"/>
    <col min="2" max="2" width="28.59765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27043707</v>
      </c>
      <c r="E3" s="73" t="str">
        <f>IF((C49-I49)=D3,"", "Error!")</f>
        <v/>
      </c>
      <c r="F3" s="94"/>
      <c r="G3" s="94"/>
      <c r="H3" s="47" t="s">
        <v>24</v>
      </c>
      <c r="I3" s="59">
        <v>25617273</v>
      </c>
      <c r="K3" s="24"/>
    </row>
    <row r="4" spans="1:11" ht="15" customHeight="1" x14ac:dyDescent="0.4">
      <c r="B4" s="3" t="s">
        <v>25</v>
      </c>
      <c r="C4" s="94"/>
      <c r="D4" s="69">
        <f>D3-I3</f>
        <v>1426434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3.3364014362803656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11790546.516973266</v>
      </c>
      <c r="E6" s="56">
        <f>1-D6/D3</f>
        <v>0.56401884856342854</v>
      </c>
      <c r="F6" s="94"/>
      <c r="G6" s="94"/>
      <c r="H6" s="1" t="s">
        <v>30</v>
      </c>
      <c r="I6" s="67">
        <f>(C24+C25)/I28</f>
        <v>3.0177109762109176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1.4099157937740405</v>
      </c>
      <c r="E7" s="11" t="str">
        <f>Dashboard!H3</f>
        <v>HKD</v>
      </c>
      <c r="H7" s="1" t="s">
        <v>31</v>
      </c>
      <c r="I7" s="67">
        <f>C24/I28</f>
        <v>2.8904485389230459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f>9405533+9667497</f>
        <v>19073030</v>
      </c>
      <c r="D11" s="64">
        <v>1</v>
      </c>
      <c r="E11" s="95">
        <f t="shared" ref="E11:E21" si="0">C11*D11</f>
        <v>19073030</v>
      </c>
      <c r="F11" s="127"/>
      <c r="G11" s="94"/>
      <c r="H11" s="3" t="s">
        <v>39</v>
      </c>
      <c r="I11" s="63">
        <v>510909</v>
      </c>
      <c r="J11" s="94"/>
      <c r="K11" s="24"/>
    </row>
    <row r="12" spans="1:11" ht="13.9" x14ac:dyDescent="0.4">
      <c r="B12" s="1" t="s">
        <v>148</v>
      </c>
      <c r="C12" s="63">
        <v>20972</v>
      </c>
      <c r="D12" s="64">
        <v>0.95</v>
      </c>
      <c r="E12" s="95">
        <f t="shared" si="0"/>
        <v>19923.399999999998</v>
      </c>
      <c r="F12" s="127"/>
      <c r="G12" s="94"/>
      <c r="H12" s="3" t="s">
        <v>40</v>
      </c>
      <c r="I12" s="63">
        <v>28807</v>
      </c>
      <c r="J12" s="94"/>
      <c r="K12" s="24"/>
    </row>
    <row r="13" spans="1:11" ht="13.9" x14ac:dyDescent="0.4">
      <c r="B13" s="3" t="s">
        <v>121</v>
      </c>
      <c r="C13" s="63">
        <v>308472</v>
      </c>
      <c r="D13" s="64">
        <v>0.8</v>
      </c>
      <c r="E13" s="95">
        <f t="shared" si="0"/>
        <v>246777.60000000001</v>
      </c>
      <c r="F13" s="127"/>
      <c r="G13" s="94"/>
      <c r="H13" s="3" t="s">
        <v>41</v>
      </c>
      <c r="I13" s="63">
        <v>0</v>
      </c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>
        <v>9668</v>
      </c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549384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854264</v>
      </c>
      <c r="D17" s="64">
        <v>0.1</v>
      </c>
      <c r="E17" s="95">
        <f t="shared" si="0"/>
        <v>85426.400000000009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2139247</v>
      </c>
      <c r="D18" s="64">
        <v>0.5</v>
      </c>
      <c r="E18" s="95">
        <f t="shared" si="0"/>
        <v>1069623.5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6163233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19402474</v>
      </c>
      <c r="D24" s="66">
        <f>IF(E24=0,0,E24/C24)</f>
        <v>0.99676623713037837</v>
      </c>
      <c r="E24" s="95">
        <f>SUM(E11:E14)</f>
        <v>19339731</v>
      </c>
      <c r="F24" s="129">
        <f>E24/$E$28</f>
        <v>0.94364175417947505</v>
      </c>
      <c r="G24" s="94"/>
    </row>
    <row r="25" spans="2:10" ht="15" customHeight="1" x14ac:dyDescent="0.4">
      <c r="B25" s="23" t="s">
        <v>55</v>
      </c>
      <c r="C25" s="65">
        <f>SUM(C15:C17)</f>
        <v>854264</v>
      </c>
      <c r="D25" s="66">
        <f>IF(E25=0,0,E25/C25)</f>
        <v>0.1</v>
      </c>
      <c r="E25" s="95">
        <f>SUM(E15:E17)</f>
        <v>85426.400000000009</v>
      </c>
      <c r="F25" s="129">
        <f t="shared" ref="F25:F27" si="2">E25/$E$28</f>
        <v>4.1682026471432055E-3</v>
      </c>
      <c r="G25" s="94"/>
      <c r="H25" s="23" t="s">
        <v>56</v>
      </c>
      <c r="I25" s="67">
        <f>E28/I28</f>
        <v>3.0531729875248357</v>
      </c>
    </row>
    <row r="26" spans="2:10" ht="15" customHeight="1" x14ac:dyDescent="0.4">
      <c r="B26" s="23" t="s">
        <v>57</v>
      </c>
      <c r="C26" s="65">
        <f>C18+C19+C20</f>
        <v>2139247</v>
      </c>
      <c r="D26" s="66">
        <f t="shared" ref="D26:D27" si="3">IF(E26=0,0,E26/C26)</f>
        <v>0.5</v>
      </c>
      <c r="E26" s="95">
        <f>E18+E19+E20</f>
        <v>1069623.5</v>
      </c>
      <c r="F26" s="129">
        <f t="shared" si="2"/>
        <v>5.2190043173381773E-2</v>
      </c>
      <c r="G26" s="94"/>
      <c r="H26" s="23" t="s">
        <v>58</v>
      </c>
      <c r="I26" s="67">
        <f>E24/($I$28-I22)</f>
        <v>35.202574155781747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60</v>
      </c>
      <c r="I27" s="67">
        <f>(E25+E24)/$I$28</f>
        <v>2.8938277574901115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22395985</v>
      </c>
      <c r="D28" s="61">
        <f t="shared" ref="D28" si="4">E28/C28</f>
        <v>0.91510960111823603</v>
      </c>
      <c r="E28" s="76">
        <f>SUM(E24:E27)</f>
        <v>20494780.899999999</v>
      </c>
      <c r="F28" s="127"/>
      <c r="G28" s="94"/>
      <c r="H28" s="85" t="s">
        <v>16</v>
      </c>
      <c r="I28" s="72">
        <v>6712617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300000</v>
      </c>
      <c r="D30" s="64">
        <v>0.95</v>
      </c>
      <c r="E30" s="95">
        <v>0</v>
      </c>
      <c r="F30" s="127"/>
      <c r="G30" s="94"/>
      <c r="H30" s="3" t="s">
        <v>62</v>
      </c>
      <c r="I30" s="63">
        <v>756896</v>
      </c>
      <c r="J30" s="94"/>
    </row>
    <row r="31" spans="2:10" ht="15" customHeight="1" x14ac:dyDescent="0.4">
      <c r="B31" s="3" t="s">
        <v>63</v>
      </c>
      <c r="C31" s="63">
        <v>1800</v>
      </c>
      <c r="D31" s="64">
        <v>0.5</v>
      </c>
      <c r="E31" s="95">
        <f t="shared" ref="E31:E42" si="5">C31*D31</f>
        <v>900</v>
      </c>
      <c r="F31" s="127"/>
      <c r="G31" s="94"/>
      <c r="H31" s="3" t="s">
        <v>64</v>
      </c>
      <c r="I31" s="63">
        <v>52067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808963</v>
      </c>
      <c r="J34" s="94"/>
    </row>
    <row r="35" spans="2:10" ht="13.9" x14ac:dyDescent="0.4">
      <c r="B35" s="3" t="s">
        <v>70</v>
      </c>
      <c r="C35" s="63">
        <f>3308+110261</f>
        <v>113569</v>
      </c>
      <c r="D35" s="64">
        <v>0.1</v>
      </c>
      <c r="E35" s="95">
        <f t="shared" si="5"/>
        <v>11356.900000000001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45190</v>
      </c>
      <c r="D36" s="64">
        <v>0.2</v>
      </c>
      <c r="E36" s="95">
        <f t="shared" si="5"/>
        <v>9038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f>9443554+366560+127886</f>
        <v>9938000</v>
      </c>
      <c r="D38" s="64">
        <v>0.1</v>
      </c>
      <c r="E38" s="95">
        <f>C38*D38</f>
        <v>993800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2304520</v>
      </c>
      <c r="D39" s="64">
        <v>0.05</v>
      </c>
      <c r="E39" s="95">
        <f t="shared" si="5"/>
        <v>115226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15244</v>
      </c>
      <c r="D40" s="64">
        <v>0.05</v>
      </c>
      <c r="E40" s="95">
        <f t="shared" si="5"/>
        <v>762.2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382475</v>
      </c>
      <c r="D41" s="64">
        <v>0.95</v>
      </c>
      <c r="E41" s="95">
        <f t="shared" si="5"/>
        <v>363351.25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112402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1043898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301800</v>
      </c>
      <c r="D44" s="66">
        <f>IF(E44=0,0,E44/C44)</f>
        <v>2.982107355864811E-3</v>
      </c>
      <c r="E44" s="95">
        <f>SUM(E30:E31)</f>
        <v>900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113569</v>
      </c>
      <c r="D45" s="66">
        <f>IF(E45=0,0,E45/C45)</f>
        <v>0.10000000000000002</v>
      </c>
      <c r="E45" s="95">
        <f>SUM(E32:E35)</f>
        <v>11356.900000000001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12287710</v>
      </c>
      <c r="D46" s="66">
        <f t="shared" ref="D46:D47" si="6">IF(E46=0,0,E46/C46)</f>
        <v>9.0990428647811511E-2</v>
      </c>
      <c r="E46" s="95">
        <f>E36+E37+E38+E39</f>
        <v>1118064</v>
      </c>
      <c r="F46" s="94"/>
      <c r="G46" s="94"/>
      <c r="H46" s="23" t="s">
        <v>81</v>
      </c>
      <c r="I46" s="67">
        <f>(E44+E24)/E64</f>
        <v>14.238358092593424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510121</v>
      </c>
      <c r="D47" s="66">
        <f t="shared" si="6"/>
        <v>0.71377859370619912</v>
      </c>
      <c r="E47" s="95">
        <f>E40+E41+E42</f>
        <v>364113.45</v>
      </c>
      <c r="F47" s="94"/>
      <c r="G47" s="94"/>
      <c r="H47" s="23" t="s">
        <v>83</v>
      </c>
      <c r="I47" s="67">
        <f>(E44+E45+E24+E25)/$I$49</f>
        <v>2.269273740473094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13213200</v>
      </c>
      <c r="D48" s="89">
        <f>E48/C48</f>
        <v>0.11310162186298549</v>
      </c>
      <c r="E48" s="83">
        <f>SUM(E30:E42)</f>
        <v>1494434.3499999999</v>
      </c>
      <c r="F48" s="94"/>
      <c r="G48" s="94"/>
      <c r="H48" s="87" t="s">
        <v>85</v>
      </c>
      <c r="I48" s="90">
        <v>1852861</v>
      </c>
      <c r="J48" s="8"/>
    </row>
    <row r="49" spans="2:10" ht="15" customHeight="1" thickTop="1" x14ac:dyDescent="0.4">
      <c r="B49" s="3" t="s">
        <v>14</v>
      </c>
      <c r="C49" s="65">
        <f>C28+C48</f>
        <v>35609185</v>
      </c>
      <c r="D49" s="56">
        <f>E49/C49</f>
        <v>0.61751526326704753</v>
      </c>
      <c r="E49" s="95">
        <f>E28+E48</f>
        <v>21989215.25</v>
      </c>
      <c r="F49" s="94"/>
      <c r="G49" s="94"/>
      <c r="H49" s="3" t="s">
        <v>86</v>
      </c>
      <c r="I49" s="52">
        <f>I28+I48</f>
        <v>8565478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1426434</v>
      </c>
      <c r="D53" s="29">
        <f>IF(E53=0, 0,E53/C53)</f>
        <v>1.7873203193436462</v>
      </c>
      <c r="E53" s="95">
        <f>MAX(C53,C53*Dashboard!G23)</f>
        <v>2549494.4724026346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1358347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160559</v>
      </c>
      <c r="D61" s="56">
        <f t="shared" ref="D61:D70" si="7">IF(E61=0,0,E61/C61)</f>
        <v>0.13262974981159575</v>
      </c>
      <c r="E61" s="52">
        <f>E14+E15+(E19*G19)+(E20*G20)+E31+E32+(E35*G35)+(E36*G36)+(E37*G37)</f>
        <v>21294.9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19373030</v>
      </c>
      <c r="D62" s="122">
        <f t="shared" si="7"/>
        <v>0.98451455451212333</v>
      </c>
      <c r="E62" s="142">
        <f>E11+E30</f>
        <v>19073030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19533589</v>
      </c>
      <c r="D63" s="29">
        <f t="shared" si="7"/>
        <v>0.97751237112647338</v>
      </c>
      <c r="E63" s="65">
        <f>E61+E62</f>
        <v>19094324.899999999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1358347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18175242</v>
      </c>
      <c r="D65" s="29">
        <f t="shared" si="7"/>
        <v>0.97583173307953741</v>
      </c>
      <c r="E65" s="65">
        <f>E63-E64</f>
        <v>17735977.899999999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16075596</v>
      </c>
      <c r="D68" s="29">
        <f t="shared" si="7"/>
        <v>0.18007981477016477</v>
      </c>
      <c r="E68" s="74">
        <f>E49-E63</f>
        <v>2894890.3500000015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7207131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8868465</v>
      </c>
      <c r="D70" s="29">
        <f t="shared" si="7"/>
        <v>-0.4862443105994102</v>
      </c>
      <c r="E70" s="74">
        <f>E68-E69</f>
        <v>-4312240.6499999985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19532203</v>
      </c>
      <c r="D74" s="130"/>
      <c r="E74" s="148">
        <f>C74</f>
        <v>19532203</v>
      </c>
      <c r="F74" s="130"/>
    </row>
    <row r="75" spans="1:9" ht="15" customHeight="1" x14ac:dyDescent="0.4">
      <c r="B75" s="117" t="s">
        <v>109</v>
      </c>
      <c r="C75" s="95">
        <f>Data!C8</f>
        <v>6868850</v>
      </c>
      <c r="D75" s="131">
        <f>C75/$C$74</f>
        <v>0.35166796085418528</v>
      </c>
      <c r="E75" s="148">
        <f>D75*E74</f>
        <v>6868850</v>
      </c>
      <c r="F75" s="149">
        <f>E75/$E$74</f>
        <v>0.35166796085418528</v>
      </c>
    </row>
    <row r="76" spans="1:9" ht="15" customHeight="1" x14ac:dyDescent="0.4">
      <c r="B76" s="35" t="s">
        <v>96</v>
      </c>
      <c r="C76" s="118">
        <f>C74-C75</f>
        <v>12663353</v>
      </c>
      <c r="D76" s="132"/>
      <c r="E76" s="150">
        <f>E74-E75</f>
        <v>12663353</v>
      </c>
      <c r="F76" s="132"/>
    </row>
    <row r="77" spans="1:9" ht="15" customHeight="1" x14ac:dyDescent="0.4">
      <c r="B77" s="117" t="s">
        <v>133</v>
      </c>
      <c r="C77" s="95">
        <f>Data!C10-Data!C12</f>
        <v>7941941</v>
      </c>
      <c r="D77" s="131">
        <f>C77/$C$74</f>
        <v>0.40660753935436778</v>
      </c>
      <c r="E77" s="148">
        <f>D77*E74</f>
        <v>7941941</v>
      </c>
      <c r="F77" s="149">
        <f>E77/$E$74</f>
        <v>0.40660753935436778</v>
      </c>
    </row>
    <row r="78" spans="1:9" ht="15" customHeight="1" x14ac:dyDescent="0.4">
      <c r="B78" s="35" t="s">
        <v>97</v>
      </c>
      <c r="C78" s="118">
        <f>C76-C77</f>
        <v>4721412</v>
      </c>
      <c r="D78" s="132"/>
      <c r="E78" s="150">
        <f>E76-E77</f>
        <v>4721412</v>
      </c>
      <c r="F78" s="132"/>
    </row>
    <row r="79" spans="1:9" ht="15" customHeight="1" x14ac:dyDescent="0.4">
      <c r="B79" s="117" t="s">
        <v>129</v>
      </c>
      <c r="C79" s="95">
        <f>Data!C17</f>
        <v>53132</v>
      </c>
      <c r="D79" s="131">
        <f>C79/$C$74</f>
        <v>2.7202256703967287E-3</v>
      </c>
      <c r="E79" s="148">
        <f>C79</f>
        <v>53132</v>
      </c>
      <c r="F79" s="149">
        <f>E79/$E$74</f>
        <v>2.7202256703967287E-3</v>
      </c>
    </row>
    <row r="80" spans="1:9" ht="15" customHeight="1" x14ac:dyDescent="0.4">
      <c r="B80" s="28" t="s">
        <v>135</v>
      </c>
      <c r="C80" s="95">
        <f>Data!C14+MAX(Data!C15,0)</f>
        <v>630037</v>
      </c>
      <c r="D80" s="131">
        <f>C80/$C$74</f>
        <v>3.2256320498000146E-2</v>
      </c>
      <c r="E80" s="148">
        <f>D80*E74</f>
        <v>630037</v>
      </c>
      <c r="F80" s="149">
        <f t="shared" ref="F80:F83" si="8">E80/$E$74</f>
        <v>3.2256320498000146E-2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4038243</v>
      </c>
      <c r="D83" s="133">
        <f>C83/$C$74</f>
        <v>0.2067479536230501</v>
      </c>
      <c r="E83" s="151">
        <f>E78-E79-E80-E81-E82</f>
        <v>4038243</v>
      </c>
      <c r="F83" s="135">
        <f t="shared" si="8"/>
        <v>0.2067479536230501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3028682.25</v>
      </c>
      <c r="D85" s="135">
        <f>C85/$C$74</f>
        <v>0.15506096521728757</v>
      </c>
      <c r="E85" s="153">
        <f>E83*(1-F84)</f>
        <v>3028682.25</v>
      </c>
      <c r="F85" s="135">
        <f>E85/$E$74</f>
        <v>0.15506096521728757</v>
      </c>
    </row>
    <row r="86" spans="1:8" ht="15" customHeight="1" x14ac:dyDescent="0.4">
      <c r="B86" s="94" t="s">
        <v>174</v>
      </c>
      <c r="C86" s="159">
        <f>C85*Data!E3/Common_Shares</f>
        <v>0.33402428308722287</v>
      </c>
      <c r="D86" s="130"/>
      <c r="E86" s="161">
        <f>E85*Data!E3/Common_Shares</f>
        <v>0.33402428308722287</v>
      </c>
      <c r="F86" s="130"/>
    </row>
    <row r="87" spans="1:8" ht="15" customHeight="1" x14ac:dyDescent="0.4">
      <c r="B87" s="93" t="s">
        <v>175</v>
      </c>
      <c r="C87" s="162">
        <f>0.1484+0.1632</f>
        <v>0.31159999999999999</v>
      </c>
      <c r="D87" s="135">
        <f>C87/C86</f>
        <v>0.93286630876064991</v>
      </c>
      <c r="E87" s="160">
        <f>C87</f>
        <v>0.31159999999999999</v>
      </c>
      <c r="F87" s="135">
        <f>E87/E86</f>
        <v>0.93286630876064991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6.2659236337922142E-2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5.1435797173011713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33168939.12660642</v>
      </c>
      <c r="D95" s="154">
        <f>PV(C92,D92,0,-F92)*Exchange_Rate</f>
        <v>3.6581028308692485</v>
      </c>
      <c r="E95" s="154">
        <f>PV(15%,D92,0,-F92)*Exchange_Rate</f>
        <v>2.772753004528711</v>
      </c>
      <c r="H95" s="24"/>
    </row>
    <row r="96" spans="1:8" ht="15" customHeight="1" x14ac:dyDescent="0.4">
      <c r="B96" s="28" t="s">
        <v>157</v>
      </c>
      <c r="C96" s="102">
        <f>E53*Exchange_Rate</f>
        <v>2764324.2648175578</v>
      </c>
      <c r="D96" s="154">
        <f>C96*Data!$E$3/Common_Shares</f>
        <v>0.30486903364534168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14554870.781790823</v>
      </c>
      <c r="D97" s="197">
        <f>C97*Data!$E$3/Common_Shares</f>
        <v>1.6052130520839043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44959485.643579684</v>
      </c>
      <c r="D98" s="124">
        <f>MAX(C98*Data!$E$3/Common_Shares,0)</f>
        <v>4.9584468493078111</v>
      </c>
      <c r="E98" s="124">
        <f>E95*Exchange_Rate-D96+D97</f>
        <v>4.3067394014186373</v>
      </c>
      <c r="F98" s="124">
        <f>D98*1.25</f>
        <v>6.1980585616347641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45050448.535639659</v>
      </c>
      <c r="D101" s="154">
        <f>E87/(C92-2%)*Exchange_Rate</f>
        <v>4.9684788738980012</v>
      </c>
      <c r="E101" s="124">
        <f>D101*(1-25%)</f>
        <v>3.7263591554235012</v>
      </c>
      <c r="F101" s="124">
        <f>D101*1.25</f>
        <v>6.2105985923725013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45004967.089609668</v>
      </c>
      <c r="D104" s="154">
        <f>(D98+D101)/2</f>
        <v>4.9634628616029062</v>
      </c>
      <c r="E104" s="124">
        <f>D104*(1-25%)</f>
        <v>3.7225971462021796</v>
      </c>
      <c r="F104" s="124">
        <f>D104*1.25</f>
        <v>6.2043285770036327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