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1157B0D1-25F9-4BB8-88E8-B5F1917C14B3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8" i="3" l="1"/>
  <c r="H81" i="3"/>
  <c r="H80" i="3"/>
  <c r="H77" i="3"/>
  <c r="H74" i="3"/>
  <c r="E74" i="3" s="1"/>
  <c r="I47" i="2"/>
  <c r="J47" i="2"/>
  <c r="K47" i="2"/>
  <c r="L47" i="2"/>
  <c r="M47" i="2"/>
  <c r="I22" i="2"/>
  <c r="J22" i="2"/>
  <c r="K22" i="2"/>
  <c r="L22" i="2"/>
  <c r="M22" i="2"/>
  <c r="I46" i="2"/>
  <c r="J46" i="2"/>
  <c r="K46" i="2"/>
  <c r="L46" i="2"/>
  <c r="M46" i="2"/>
  <c r="I14" i="2"/>
  <c r="J14" i="2"/>
  <c r="K14" i="2"/>
  <c r="L14" i="2"/>
  <c r="M14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H46" i="2" l="1"/>
  <c r="H14" i="2"/>
  <c r="F3" i="2" s="1"/>
  <c r="H22" i="2"/>
  <c r="H47" i="2"/>
  <c r="F46" i="2"/>
  <c r="F47" i="2"/>
  <c r="F14" i="2"/>
  <c r="F22" i="2"/>
  <c r="G46" i="2"/>
  <c r="G47" i="2"/>
  <c r="G14" i="2"/>
  <c r="G22" i="2"/>
  <c r="E14" i="2"/>
  <c r="E47" i="2"/>
  <c r="E46" i="2"/>
  <c r="E22" i="2"/>
  <c r="C46" i="2"/>
  <c r="C47" i="2"/>
  <c r="D47" i="2"/>
  <c r="D14" i="2"/>
  <c r="D46" i="2"/>
  <c r="D22" i="2"/>
  <c r="C77" i="3"/>
  <c r="I51" i="2"/>
  <c r="I50" i="2"/>
  <c r="J50" i="2"/>
  <c r="H51" i="2"/>
  <c r="L15" i="2"/>
  <c r="K15" i="2"/>
  <c r="J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E9" i="2"/>
  <c r="L7" i="2"/>
  <c r="C7" i="2"/>
  <c r="M18" i="2"/>
  <c r="E7" i="2"/>
  <c r="C18" i="2"/>
  <c r="D9" i="2"/>
  <c r="H7" i="2"/>
  <c r="H9" i="2"/>
  <c r="K18" i="2"/>
  <c r="I18" i="2"/>
  <c r="G7" i="2"/>
  <c r="G9" i="2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M13" i="2" l="1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I80" i="3" l="1"/>
  <c r="D103" i="3"/>
  <c r="I103" i="3"/>
  <c r="H53" i="2"/>
  <c r="D77" i="3"/>
  <c r="D53" i="2"/>
  <c r="E24" i="2"/>
  <c r="D81" i="3"/>
  <c r="C76" i="3"/>
  <c r="C78" i="3" s="1"/>
  <c r="D82" i="3"/>
  <c r="H82" i="3" s="1"/>
  <c r="D75" i="3"/>
  <c r="H75" i="3" s="1"/>
  <c r="D80" i="3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<sst xmlns="http://schemas.openxmlformats.org/spreadsheetml/2006/main" count="371" uniqueCount="266">
  <si>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</si>
  <si>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</si>
  <si>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</si>
  <si>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</si>
  <si>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</si>
  <si>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</si>
  <si>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</si>
  <si>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</si>
  <si>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</si>
  <si>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</si>
  <si>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</si>
  <si>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</si>
  <si>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</si>
  <si>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</si>
  <si>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</si>
  <si>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</si>
  <si>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</si>
  <si>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</si>
  <si>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</si>
  <si>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</si>
  <si>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</si>
  <si>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</si>
  <si>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</si>
  <si>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</si>
  <si>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</si>
  <si>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</si>
  <si>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</si>
  <si>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</si>
  <si>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</si>
  <si>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</si>
  <si>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</si>
  <si>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</si>
  <si>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</si>
  <si>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</si>
  <si>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</si>
  <si>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</si>
  <si>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</si>
  <si>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</si>
  <si>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</si>
  <si>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</si>
  <si>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</si>
  <si>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</si>
  <si>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</si>
  <si>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</si>
  <si>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</si>
  <si>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</si>
  <si>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</si>
  <si>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</si>
  <si>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</si>
  <si>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</si>
  <si>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</si>
  <si>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</si>
  <si>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</si>
  <si>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</si>
  <si>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</si>
  <si>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</si>
  <si>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</si>
  <si>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</si>
  <si>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</si>
  <si>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</si>
  <si>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</si>
  <si>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</si>
  <si>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</si>
  <si>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</si>
  <si>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</si>
  <si>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</si>
  <si>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</si>
  <si>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</si>
  <si>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</si>
  <si>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</si>
  <si>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</si>
  <si>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</si>
  <si>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</si>
  <si>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</si>
  <si>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</si>
  <si>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</si>
  <si>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</si>
  <si>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</si>
  <si>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</si>
  <si>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</si>
  <si>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</si>
  <si>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</si>
  <si>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</si>
  <si>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</si>
  <si>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</si>
  <si>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</si>
  <si>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</si>
  <si>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</si>
  <si>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</si>
  <si>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</si>
  <si>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</si>
  <si>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</si>
  <si>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</si>
  <si>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</si>
  <si>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</si>
  <si>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</si>
  <si>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</si>
  <si>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</si>
  <si>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</si>
  <si>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</si>
  <si>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</si>
  <si>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</si>
  <si>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</si>
  <si>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</si>
  <si>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</si>
  <si>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</si>
  <si>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</si>
  <si>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</si>
  <si>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</si>
  <si>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</si>
  <si>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</si>
  <si>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</si>
  <si>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</si>
  <si>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</si>
  <si>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</si>
  <si>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</si>
  <si>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</si>
  <si>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</si>
  <si>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</si>
  <si>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</si>
  <si>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</si>
  <si>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</si>
  <si>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</si>
  <si>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</si>
  <si>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</si>
  <si>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</si>
  <si>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</si>
  <si>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</si>
  <si>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</si>
  <si>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</si>
  <si>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</si>
  <si>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</si>
  <si>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</si>
  <si>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</si>
  <si>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</si>
  <si>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</si>
  <si>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</si>
  <si>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</si>
  <si>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</si>
  <si>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</si>
  <si>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</si>
  <si>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</si>
  <si>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</si>
  <si>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</si>
  <si>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</si>
  <si>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</si>
  <si>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</si>
  <si>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</si>
  <si>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</si>
  <si>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</si>
  <si>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</si>
  <si>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</si>
  <si>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</si>
  <si>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</si>
  <si>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</si>
  <si>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</si>
  <si>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</si>
  <si>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</si>
  <si>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</si>
  <si>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</si>
  <si>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</si>
  <si>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</si>
  <si>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</si>
  <si>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</si>
  <si>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</si>
  <si>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</si>
  <si>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</si>
  <si>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</si>
  <si>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</si>
  <si>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</si>
  <si>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</si>
  <si>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</si>
  <si>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</si>
  <si>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</si>
  <si>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</si>
  <si>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</si>
  <si>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</si>
  <si>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</si>
  <si>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</si>
  <si>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</si>
  <si>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</si>
  <si>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</si>
  <si>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</si>
  <si>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</si>
  <si>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</si>
  <si>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</si>
  <si>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</si>
  <si>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</si>
  <si>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</si>
  <si>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</si>
  <si>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</si>
  <si>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</si>
  <si>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</si>
  <si>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</si>
  <si>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</si>
  <si>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</si>
  <si>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</si>
  <si>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</si>
  <si>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</si>
  <si>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</si>
  <si>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</si>
  <si>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</si>
  <si>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</si>
  <si>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</si>
  <si>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</si>
  <si>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</si>
  <si>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</si>
  <si>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</si>
  <si>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</si>
  <si>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</si>
  <si>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</si>
  <si>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</si>
  <si>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</si>
  <si>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</si>
  <si>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</si>
  <si>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</si>
  <si>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</si>
  <si>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</si>
  <si>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</si>
  <si>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</si>
  <si>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</si>
  <si>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</si>
  <si>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</si>
  <si>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</si>
  <si>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</si>
  <si>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</si>
  <si>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</si>
  <si>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</si>
  <si>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</si>
  <si>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</si>
  <si>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</si>
  <si>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</si>
  <si>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</si>
  <si>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</si>
  <si>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</si>
  <si>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</si>
  <si>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</si>
  <si>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</si>
  <si>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</si>
  <si>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</si>
  <si>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</si>
  <si>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</si>
  <si>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</si>
  <si>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</si>
  <si>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</si>
  <si>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</si>
  <si>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</si>
  <si>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</si>
  <si>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</si>
  <si>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</si>
  <si>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</si>
  <si>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</si>
  <si>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</si>
  <si>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</si>
  <si>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</si>
  <si>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</si>
  <si>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</si>
  <si>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</si>
  <si>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六福珠宝</t>
  </si>
  <si>
    <t>C0003</t>
  </si>
  <si>
    <t>Avg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</si>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</sst>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9" sqref="F1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223</v>
      </c>
    </row>
    <row r="4" spans="1:6" ht="13.9" x14ac:dyDescent="0.4">
      <c r="B4" s="141" t="s">
        <v>202</v>
      </c>
      <c r="C4" s="192" t="s">
        <v>257</v>
      </c>
      <c r="E4" s="234" t="s">
        <v>215</v>
      </c>
      <c r="F4" s="12" t="str">
        <f>C11</f>
        <v>HKD</v>
      </c>
    </row>
    <row r="5" spans="1:6" ht="13.9" x14ac:dyDescent="0.4">
      <c r="B5" s="141" t="s">
        <v>203</v>
      </c>
      <c r="C5" s="195" t="s">
        <v>258</v>
      </c>
      <c r="E5" s="228">
        <f>C18</f>
        <v>45381</v>
      </c>
      <c r="F5" s="229"/>
    </row>
    <row r="6" spans="1:6" ht="13.9" x14ac:dyDescent="0.4">
      <c r="B6" s="141" t="s">
        <v>168</v>
      </c>
      <c r="C6" s="193">
        <v>45593</v>
      </c>
      <c r="E6" s="230" t="s">
        <v>213</v>
      </c>
      <c r="F6" s="229"/>
    </row>
    <row r="7" spans="1:6" ht="13.9" x14ac:dyDescent="0.4">
      <c r="B7" s="140" t="s">
        <v>4</v>
      </c>
      <c r="C7" s="194">
        <v>8</v>
      </c>
    </row>
    <row r="8" spans="1:6" ht="13.9" x14ac:dyDescent="0.4">
      <c r="B8" s="140" t="s">
        <v>224</v>
      </c>
      <c r="C8" s="195" t="s">
        <v>46</v>
      </c>
    </row>
    <row r="9" spans="1:6" ht="13.9" x14ac:dyDescent="0.4">
      <c r="B9" s="140" t="s">
        <v>225</v>
      </c>
      <c r="C9" s="196" t="s">
        <v>259</v>
      </c>
    </row>
    <row r="10" spans="1:6" ht="13.9" x14ac:dyDescent="0.4">
      <c r="B10" s="140" t="s">
        <v>226</v>
      </c>
      <c r="C10" s="197">
        <v>587107850</v>
      </c>
    </row>
    <row r="11" spans="1:6" ht="13.9" x14ac:dyDescent="0.4">
      <c r="B11" s="140" t="s">
        <v>227</v>
      </c>
      <c r="C11" s="196" t="s">
        <v>2</v>
      </c>
    </row>
    <row r="12" spans="1:6" ht="13.9" x14ac:dyDescent="0.4">
      <c r="B12" s="224" t="s">
        <v>10</v>
      </c>
      <c r="C12" s="225">
        <v>45381</v>
      </c>
    </row>
    <row r="13" spans="1:6" ht="13.9" x14ac:dyDescent="0.4">
      <c r="B13" s="224" t="s">
        <v>11</v>
      </c>
      <c r="C13" s="226">
        <v>1000</v>
      </c>
    </row>
    <row r="14" spans="1:6" ht="13.9" x14ac:dyDescent="0.4">
      <c r="B14" s="224" t="s">
        <v>229</v>
      </c>
      <c r="C14" s="225">
        <v>45381</v>
      </c>
    </row>
    <row r="15" spans="1:6" ht="13.9" x14ac:dyDescent="0.4">
      <c r="B15" s="224" t="s">
        <v>228</v>
      </c>
      <c r="C15" s="179" t="s">
        <v>196</v>
      </c>
    </row>
    <row r="16" spans="1:6" ht="13.9" x14ac:dyDescent="0.4">
      <c r="B16" s="231" t="s">
        <v>97</v>
      </c>
      <c r="C16" s="232">
        <v>0.25</v>
      </c>
      <c r="D16" s="24"/>
    </row>
    <row r="18" spans="2:13" ht="13.9" x14ac:dyDescent="0.4">
      <c r="B18" s="115" t="s">
        <v>137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3.9" x14ac:dyDescent="0.4">
      <c r="B19" s="94" t="s">
        <v>12</v>
      </c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</row>
    <row r="20" spans="2:13" ht="13.9" x14ac:dyDescent="0.4">
      <c r="B20" s="97" t="s">
        <v>106</v>
      </c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</row>
    <row r="21" spans="2:13" ht="13.9" x14ac:dyDescent="0.4">
      <c r="B21" s="97" t="s">
        <v>104</v>
      </c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</row>
    <row r="22" spans="2:13" ht="13.9" x14ac:dyDescent="0.4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3.9" x14ac:dyDescent="0.4">
      <c r="B23" s="97" t="s">
        <v>124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</row>
    <row r="24" spans="2:13" ht="13.9" x14ac:dyDescent="0.4">
      <c r="B24" s="99" t="s">
        <v>111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2:13" ht="13.9" x14ac:dyDescent="0.4">
      <c r="B25" s="97" t="s">
        <v>110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3.9" x14ac:dyDescent="0.4">
      <c r="B26" s="97" t="s">
        <v>105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3.9" x14ac:dyDescent="0.4">
      <c r="B27" s="97" t="s">
        <v>108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3.9" x14ac:dyDescent="0.4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3.9" x14ac:dyDescent="0.4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3.9" x14ac:dyDescent="0.4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3.9" x14ac:dyDescent="0.4">
      <c r="B31" s="94" t="s">
        <v>16</v>
      </c>
      <c r="C31" s="223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3.9" x14ac:dyDescent="0.4">
      <c r="B32" s="94" t="s">
        <v>116</v>
      </c>
      <c r="C32" s="223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3.9" x14ac:dyDescent="0.4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3.9" x14ac:dyDescent="0.4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3.9" x14ac:dyDescent="0.4">
      <c r="B35" s="94" t="s">
        <v>141</v>
      </c>
      <c r="C35" s="223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3.9" x14ac:dyDescent="0.4">
      <c r="B36" s="94" t="s">
        <v>142</v>
      </c>
      <c r="C36" s="223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3.9" x14ac:dyDescent="0.4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3.9" x14ac:dyDescent="0.4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3.9" x14ac:dyDescent="0.4">
      <c r="B40" s="3" t="s">
        <v>38</v>
      </c>
      <c r="C40" s="59"/>
      <c r="D40" s="60">
        <v>0.9</v>
      </c>
      <c r="E40" s="112"/>
    </row>
    <row r="41" spans="2:13" ht="13.9" x14ac:dyDescent="0.4">
      <c r="B41" s="1" t="s">
        <v>139</v>
      </c>
      <c r="C41" s="59"/>
      <c r="D41" s="60">
        <v>0.8</v>
      </c>
      <c r="E41" s="112"/>
    </row>
    <row r="42" spans="2:13" ht="13.9" x14ac:dyDescent="0.4">
      <c r="B42" s="3" t="s">
        <v>117</v>
      </c>
      <c r="C42" s="59"/>
      <c r="D42" s="60">
        <f>D43</f>
        <v>0.6</v>
      </c>
      <c r="E42" s="112"/>
    </row>
    <row r="43" spans="2:13" ht="13.9" x14ac:dyDescent="0.4">
      <c r="B43" s="3" t="s">
        <v>42</v>
      </c>
      <c r="C43" s="59"/>
      <c r="D43" s="60">
        <v>0.6</v>
      </c>
      <c r="E43" s="112"/>
    </row>
    <row r="44" spans="2:13" ht="13.9" x14ac:dyDescent="0.4">
      <c r="B44" s="3" t="s">
        <v>44</v>
      </c>
      <c r="C44" s="59"/>
      <c r="D44" s="60">
        <v>0.5</v>
      </c>
      <c r="E44" s="112"/>
    </row>
    <row r="45" spans="2:13" ht="13.9" x14ac:dyDescent="0.4">
      <c r="B45" s="1" t="s">
        <v>163</v>
      </c>
      <c r="C45" s="59"/>
      <c r="D45" s="60">
        <f>D42</f>
        <v>0.6</v>
      </c>
      <c r="E45" s="112"/>
    </row>
    <row r="46" spans="2:13" ht="13.9" x14ac:dyDescent="0.4">
      <c r="B46" s="3" t="s">
        <v>118</v>
      </c>
      <c r="C46" s="59"/>
      <c r="D46" s="60">
        <v>0.1</v>
      </c>
      <c r="E46" s="112"/>
    </row>
    <row r="47" spans="2:13" ht="13.9" x14ac:dyDescent="0.4">
      <c r="B47" s="3" t="s">
        <v>47</v>
      </c>
      <c r="C47" s="59"/>
      <c r="D47" s="60">
        <f>D44</f>
        <v>0.5</v>
      </c>
      <c r="E47" s="112"/>
    </row>
    <row r="48" spans="2:13" ht="13.9" x14ac:dyDescent="0.4">
      <c r="B48" s="1" t="s">
        <v>48</v>
      </c>
      <c r="C48" s="59"/>
      <c r="D48" s="60">
        <f>D42</f>
        <v>0.6</v>
      </c>
      <c r="E48" s="227" t="s">
        <v>71</v>
      </c>
    </row>
    <row r="49" spans="2:5" ht="13.9" x14ac:dyDescent="0.4">
      <c r="B49" s="3" t="s">
        <v>120</v>
      </c>
      <c r="C49" s="59"/>
      <c r="D49" s="60">
        <v>0.6</v>
      </c>
      <c r="E49" s="227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2"/>
    </row>
    <row r="51" spans="2:5" ht="13.9" x14ac:dyDescent="0.4">
      <c r="B51" s="35" t="s">
        <v>51</v>
      </c>
      <c r="C51" s="120"/>
      <c r="D51" s="199">
        <f>D62</f>
        <v>0.05</v>
      </c>
      <c r="E51" s="112"/>
    </row>
    <row r="52" spans="2:5" ht="13.9" x14ac:dyDescent="0.4">
      <c r="B52" s="3" t="s">
        <v>61</v>
      </c>
      <c r="C52" s="59"/>
      <c r="D52" s="60">
        <f>D41</f>
        <v>0.8</v>
      </c>
      <c r="E52" s="112"/>
    </row>
    <row r="53" spans="2:5" ht="13.9" x14ac:dyDescent="0.4">
      <c r="B53" s="3" t="s">
        <v>63</v>
      </c>
      <c r="C53" s="59"/>
      <c r="D53" s="60">
        <f>D43</f>
        <v>0.6</v>
      </c>
      <c r="E53" s="112"/>
    </row>
    <row r="54" spans="2:5" ht="13.9" x14ac:dyDescent="0.4">
      <c r="B54" s="3" t="s">
        <v>65</v>
      </c>
      <c r="C54" s="59"/>
      <c r="D54" s="60">
        <f>D44</f>
        <v>0.5</v>
      </c>
      <c r="E54" s="112"/>
    </row>
    <row r="55" spans="2:5" ht="13.9" x14ac:dyDescent="0.4">
      <c r="B55" s="1" t="s">
        <v>164</v>
      </c>
      <c r="C55" s="59"/>
      <c r="D55" s="60">
        <f>D54</f>
        <v>0.5</v>
      </c>
      <c r="E55" s="112"/>
    </row>
    <row r="56" spans="2:5" ht="13.9" x14ac:dyDescent="0.4">
      <c r="B56" s="3" t="s">
        <v>68</v>
      </c>
      <c r="C56" s="59"/>
      <c r="D56" s="60">
        <v>0.4</v>
      </c>
      <c r="E56" s="112"/>
    </row>
    <row r="57" spans="2:5" ht="13.9" x14ac:dyDescent="0.4">
      <c r="B57" s="3" t="s">
        <v>70</v>
      </c>
      <c r="C57" s="59"/>
      <c r="D57" s="60">
        <v>0.1</v>
      </c>
      <c r="E57" s="227" t="s">
        <v>71</v>
      </c>
    </row>
    <row r="58" spans="2:5" ht="13.9" x14ac:dyDescent="0.4">
      <c r="B58" s="3" t="s">
        <v>72</v>
      </c>
      <c r="C58" s="59"/>
      <c r="D58" s="60">
        <v>0.2</v>
      </c>
      <c r="E58" s="227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27" t="s">
        <v>46</v>
      </c>
    </row>
    <row r="60" spans="2:5" ht="13.9" x14ac:dyDescent="0.4">
      <c r="B60" s="3" t="s">
        <v>119</v>
      </c>
      <c r="C60" s="59"/>
      <c r="D60" s="60">
        <f>D57</f>
        <v>0.1</v>
      </c>
      <c r="E60" s="112"/>
    </row>
    <row r="61" spans="2:5" ht="13.9" x14ac:dyDescent="0.4">
      <c r="B61" s="3" t="s">
        <v>73</v>
      </c>
      <c r="C61" s="59"/>
      <c r="D61" s="60">
        <f>D62</f>
        <v>0.05</v>
      </c>
      <c r="E61" s="112"/>
    </row>
    <row r="62" spans="2:5" ht="13.9" x14ac:dyDescent="0.4">
      <c r="B62" s="3" t="s">
        <v>74</v>
      </c>
      <c r="C62" s="59"/>
      <c r="D62" s="60">
        <v>0.05</v>
      </c>
      <c r="E62" s="112"/>
    </row>
    <row r="63" spans="2:5" ht="13.9" x14ac:dyDescent="0.4">
      <c r="B63" s="3" t="s">
        <v>75</v>
      </c>
      <c r="C63" s="59"/>
      <c r="D63" s="60">
        <f>D50</f>
        <v>0.9</v>
      </c>
      <c r="E63" s="112"/>
    </row>
    <row r="64" spans="2:5" ht="13.9" x14ac:dyDescent="0.4">
      <c r="B64" s="3" t="s">
        <v>76</v>
      </c>
      <c r="C64" s="59"/>
      <c r="D64" s="60">
        <v>0</v>
      </c>
      <c r="E64" s="112"/>
    </row>
    <row r="65" spans="2:3" ht="13.5" x14ac:dyDescent="0.35">
      <c r="B65" s="200" t="s">
        <v>37</v>
      </c>
      <c r="C65" s="198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0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0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230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3" sqref="B2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202</v>
      </c>
      <c r="C3" s="252" t="str">
        <f>Inputs!C4</f>
        <v>0590.HK</v>
      </c>
      <c r="D3" s="253"/>
      <c r="E3" s="87"/>
      <c r="F3" s="3" t="s">
        <v>1</v>
      </c>
      <c r="G3" s="132">
        <v>15</v>
      </c>
      <c r="H3" s="134" t="s">
        <v>2</v>
      </c>
    </row>
    <row r="4" spans="1:10" ht="15.75" customHeight="1" x14ac:dyDescent="0.4">
      <c r="B4" s="35" t="s">
        <v>203</v>
      </c>
      <c r="C4" s="254" t="str">
        <f>Inputs!C5</f>
        <v>六福珠宝</v>
      </c>
      <c r="D4" s="255"/>
      <c r="E4" s="87"/>
      <c r="F4" s="3" t="s">
        <v>3</v>
      </c>
      <c r="G4" s="258">
        <f>Inputs!C10</f>
        <v>587107850</v>
      </c>
      <c r="H4" s="258"/>
      <c r="I4" s="39"/>
    </row>
    <row r="5" spans="1:10" ht="15.75" customHeight="1" x14ac:dyDescent="0.4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8806.6177499999994</v>
      </c>
      <c r="H5" s="250"/>
      <c r="I5" s="38"/>
      <c r="J5" s="28"/>
    </row>
    <row r="6" spans="1:10" ht="15.75" customHeight="1" x14ac:dyDescent="0.4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4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198</v>
      </c>
      <c r="F9" s="143" t="s">
        <v>192</v>
      </c>
    </row>
    <row r="10" spans="1:10" ht="15.75" customHeight="1" x14ac:dyDescent="0.4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45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4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4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45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4">
      <c r="B17" s="87" t="s">
        <v>187</v>
      </c>
      <c r="C17" s="178">
        <v>7.1999999999999995E-2</v>
      </c>
      <c r="D17" s="179"/>
    </row>
    <row r="18" spans="1:8" ht="15.75" customHeight="1" x14ac:dyDescent="0.4"/>
    <row r="19" spans="1:8" ht="15.75" customHeight="1" x14ac:dyDescent="0.4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4">
      <c r="B20" s="137" t="s">
        <v>174</v>
      </c>
      <c r="C20" s="174" t="e">
        <f>Fin_Analysis!I75</f>
        <v>#VALUE!</v>
      </c>
      <c r="F20" s="87" t="s">
        <v>219</v>
      </c>
      <c r="G20" s="175">
        <v>0.15</v>
      </c>
    </row>
    <row r="21" spans="1:8" ht="15.75" customHeight="1" x14ac:dyDescent="0.4">
      <c r="B21" s="137" t="s">
        <v>262</v>
      </c>
      <c r="C21" s="174" t="e">
        <f>Fin_Analysis!I77</f>
        <v>#VALUE!</v>
      </c>
      <c r="F21" s="87"/>
      <c r="G21" s="29"/>
    </row>
    <row r="22" spans="1:8" ht="15.75" customHeight="1" x14ac:dyDescent="0.4">
      <c r="B22" s="137" t="s">
        <v>175</v>
      </c>
      <c r="C22" s="174" t="e">
        <f>Fin_Analysis!I79</f>
        <v>#VALUE!</v>
      </c>
      <c r="F22" s="142" t="s">
        <v>191</v>
      </c>
    </row>
    <row r="23" spans="1:8" ht="15.75" customHeight="1" x14ac:dyDescent="0.4">
      <c r="B23" s="137" t="s">
        <v>261</v>
      </c>
      <c r="C23" s="174" t="e">
        <f>Fin_Analysis!I80</f>
        <v>#VALUE!</v>
      </c>
      <c r="F23" s="140" t="s">
        <v>195</v>
      </c>
      <c r="G23" s="180" t="e">
        <f>G3/(Data!C36*Data!C4/Common_Shares*Exchange_Rate)</f>
        <v>#DIV/0!</v>
      </c>
    </row>
    <row r="24" spans="1:8" ht="15.75" customHeight="1" x14ac:dyDescent="0.4">
      <c r="B24" s="137" t="s">
        <v>176</v>
      </c>
      <c r="C24" s="174" t="e">
        <f>Fin_Analysis!I81</f>
        <v>#VALUE!</v>
      </c>
      <c r="F24" s="140" t="s">
        <v>180</v>
      </c>
      <c r="G24" s="181" t="e">
        <f>(Fin_Analysis!H86*G7)/G3</f>
        <v>#VALUE!</v>
      </c>
    </row>
    <row r="25" spans="1:8" ht="15.75" customHeight="1" x14ac:dyDescent="0.4">
      <c r="B25" s="137" t="s">
        <v>199</v>
      </c>
      <c r="C25" s="174" t="e">
        <f>Fin_Analysis!I82</f>
        <v>#VALUE!</v>
      </c>
      <c r="F25" s="140" t="s">
        <v>179</v>
      </c>
      <c r="G25" s="174" t="e">
        <f>Fin_Analysis!I88</f>
        <v>#VALUE!</v>
      </c>
    </row>
    <row r="26" spans="1:8" ht="15.75" customHeight="1" x14ac:dyDescent="0.4">
      <c r="B26" s="138" t="s">
        <v>178</v>
      </c>
      <c r="C26" s="174" t="e">
        <f>Fin_Analysis!I83</f>
        <v>#VALUE!</v>
      </c>
      <c r="F26" s="141" t="s">
        <v>201</v>
      </c>
      <c r="G26" s="181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4">
      <c r="B29" s="87" t="s">
        <v>173</v>
      </c>
      <c r="C29" s="130" t="e">
        <f>IF(Fin_Analysis!C108="Profit",Fin_Analysis!E100,IF(Fin_Analysis!C108="Dividend",Fin_Analysis!D103,Fin_Analysis!D106))</f>
        <v>#VALUE!</v>
      </c>
      <c r="D29" s="129" t="e">
        <f>IF(Fin_Analysis!C108="Profit",Fin_Analysis!I100,IF(Fin_Analysis!C108="Dividend",Fin_Analysis!I103,Fin_Analysis!I106))</f>
        <v>#VALUE!</v>
      </c>
      <c r="E29" s="87"/>
      <c r="F29" s="131" t="e">
        <f>IF(Fin_Analysis!C108="Profit",Fin_Analysis!F100,IF(Fin_Analysis!C108="Dividend",Fin_Analysis!F103,Fin_Analysis!F106))</f>
        <v>#VALUE!</v>
      </c>
      <c r="G29" s="249" t="e">
        <f>IF(Fin_Analysis!C108="Profit",Fin_Analysis!E100,IF(Fin_Analysis!C108="Dividend",Fin_Analysis!E103,Fin_Analysis!E106))</f>
        <v>#VALUE!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232</v>
      </c>
      <c r="C31"/>
    </row>
    <row r="32" spans="1:8" ht="15.75" customHeight="1" x14ac:dyDescent="0.4">
      <c r="A32"/>
      <c r="B32" s="200" t="s">
        <v>233</v>
      </c>
      <c r="C32" s="235"/>
    </row>
    <row r="33" spans="1:3" ht="15.75" customHeight="1" x14ac:dyDescent="0.4">
      <c r="A33"/>
      <c r="B33" s="20" t="s">
        <v>234</v>
      </c>
      <c r="C33" s="236" t="s">
        <v>242</v>
      </c>
    </row>
    <row r="34" spans="1:3" ht="15.75" customHeight="1" x14ac:dyDescent="0.4">
      <c r="A34"/>
      <c r="B34" s="19" t="s">
        <v>235</v>
      </c>
      <c r="C34" s="23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200" t="s">
        <v>236</v>
      </c>
      <c r="C35" s="235"/>
    </row>
    <row r="36" spans="1:3" ht="15.75" customHeight="1" x14ac:dyDescent="0.4">
      <c r="A36"/>
      <c r="B36" s="20" t="s">
        <v>252</v>
      </c>
      <c r="C36" s="236" t="s">
        <v>263</v>
      </c>
    </row>
    <row r="37" spans="1:3" ht="15.75" customHeight="1" x14ac:dyDescent="0.4">
      <c r="A37"/>
      <c r="B37" s="20" t="s">
        <v>253</v>
      </c>
      <c r="C37" s="236" t="s">
        <v>243</v>
      </c>
    </row>
    <row r="38" spans="1:3" ht="15.75" customHeight="1" x14ac:dyDescent="0.4">
      <c r="A38"/>
      <c r="B38" s="200" t="s">
        <v>237</v>
      </c>
      <c r="C38" s="235"/>
    </row>
    <row r="39" spans="1:3" ht="15.75" customHeight="1" x14ac:dyDescent="0.4">
      <c r="A39"/>
      <c r="B39" s="19" t="s">
        <v>238</v>
      </c>
      <c r="C39" s="236" t="s">
        <v>243</v>
      </c>
    </row>
    <row r="40" spans="1:3" ht="15.75" customHeight="1" x14ac:dyDescent="0.4">
      <c r="A40"/>
      <c r="B40" s="1" t="s">
        <v>244</v>
      </c>
      <c r="C40" s="236" t="s">
        <v>242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239</v>
      </c>
      <c r="C42"/>
    </row>
    <row r="43" spans="1:3" ht="65.650000000000006" x14ac:dyDescent="0.4">
      <c r="A43"/>
      <c r="B43" s="238" t="s">
        <v>240</v>
      </c>
      <c r="C43" s="239" t="s">
        <v>241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8" zoomScaleNormal="100" workbookViewId="0">
      <pane xSplit="2" topLeftCell="C1" activePane="topRight" state="frozen"/>
      <selection activeCell="A4" sqref="A4"/>
      <selection pane="topRight" activeCell="D34" sqref="D3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7">
        <f>Inputs!C12</f>
        <v>45381</v>
      </c>
      <c r="E3" s="148" t="s">
        <v>208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137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6" t="str">
        <f>IF(Inputs!C19=""," ",Inputs!C19)</f>
        <v xml:space="preserve"> </v>
      </c>
      <c r="D6" s="206" t="str">
        <f>IF(Inputs!D19="","",Inputs!D19)</f>
        <v/>
      </c>
      <c r="E6" s="206" t="str">
        <f>IF(Inputs!E19="","",Inputs!E19)</f>
        <v/>
      </c>
      <c r="F6" s="206" t="str">
        <f>IF(Inputs!F19="","",Inputs!F19)</f>
        <v/>
      </c>
      <c r="G6" s="206" t="str">
        <f>IF(Inputs!G19="","",Inputs!G19)</f>
        <v/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5" t="str">
        <f>IF(Inputs!C20="","",Inputs!C20)</f>
        <v/>
      </c>
      <c r="D8" s="205" t="str">
        <f>IF(Inputs!D20="","",Inputs!D20)</f>
        <v/>
      </c>
      <c r="E8" s="205" t="str">
        <f>IF(Inputs!E20="","",Inputs!E20)</f>
        <v/>
      </c>
      <c r="F8" s="205" t="str">
        <f>IF(Inputs!F20="","",Inputs!F20)</f>
        <v/>
      </c>
      <c r="G8" s="205" t="str">
        <f>IF(Inputs!G20="","",Inputs!G20)</f>
        <v/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3" t="e">
        <f t="shared" ref="C9:M9" si="2">IF(C6="","",(C6-C8))</f>
        <v>#VALUE!</v>
      </c>
      <c r="D9" s="153" t="str">
        <f t="shared" si="2"/>
        <v/>
      </c>
      <c r="E9" s="153" t="str">
        <f t="shared" si="2"/>
        <v/>
      </c>
      <c r="F9" s="153" t="str">
        <f t="shared" si="2"/>
        <v/>
      </c>
      <c r="G9" s="153" t="str">
        <f t="shared" si="2"/>
        <v/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5" t="str">
        <f>IF(Inputs!C21="","",Inputs!C21)</f>
        <v/>
      </c>
      <c r="D10" s="205" t="str">
        <f>IF(Inputs!D21="","",Inputs!D21)</f>
        <v/>
      </c>
      <c r="E10" s="205" t="str">
        <f>IF(Inputs!E21="","",Inputs!E21)</f>
        <v/>
      </c>
      <c r="F10" s="205" t="str">
        <f>IF(Inputs!F21="","",Inputs!F21)</f>
        <v/>
      </c>
      <c r="G10" s="205" t="str">
        <f>IF(Inputs!G21="","",Inputs!G21)</f>
        <v/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4">
      <c r="A12" s="4"/>
      <c r="B12" s="99" t="s">
        <v>254</v>
      </c>
      <c r="C12" s="205" t="str">
        <f>IF(Inputs!C24="","",MAX(Inputs!C24,0)/(1-Fin_Analysis!$I$84))</f>
        <v/>
      </c>
      <c r="D12" s="205" t="str">
        <f>IF(Inputs!D24="","",MAX(Inputs!D24,0)/(1-Fin_Analysis!$I$84))</f>
        <v/>
      </c>
      <c r="E12" s="205" t="str">
        <f>IF(Inputs!E24="","",MAX(Inputs!E24,0)/(1-Fin_Analysis!$I$84))</f>
        <v/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4">
      <c r="A13" s="4"/>
      <c r="B13" s="241" t="s">
        <v>255</v>
      </c>
      <c r="C13" s="242" t="e">
        <f t="shared" ref="C13:M13" si="3">IF(C14="","",C14/C6)</f>
        <v>#VALUE!</v>
      </c>
      <c r="D13" s="242" t="str">
        <f t="shared" si="3"/>
        <v/>
      </c>
      <c r="E13" s="242" t="str">
        <f t="shared" si="3"/>
        <v/>
      </c>
      <c r="F13" s="242" t="str">
        <f t="shared" si="3"/>
        <v/>
      </c>
      <c r="G13" s="242" t="str">
        <f t="shared" si="3"/>
        <v/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4">
      <c r="A14" s="4"/>
      <c r="B14" s="241" t="s">
        <v>246</v>
      </c>
      <c r="C14" s="243" t="e">
        <f>IF(C6="","",C9-C10-MAX(C11,0)-MAX(C12,0))</f>
        <v>#VALUE!</v>
      </c>
      <c r="D14" s="243" t="str">
        <f t="shared" ref="D14:M14" si="4">IF(D6="","",D9-D10-MAX(D11,0)-MAX(D12,0))</f>
        <v/>
      </c>
      <c r="E14" s="243" t="str">
        <f t="shared" si="4"/>
        <v/>
      </c>
      <c r="F14" s="243" t="str">
        <f t="shared" si="4"/>
        <v/>
      </c>
      <c r="G14" s="243" t="str">
        <f t="shared" si="4"/>
        <v/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4">
      <c r="A15" s="4"/>
      <c r="B15" s="244" t="s">
        <v>256</v>
      </c>
      <c r="C15" s="245" t="str">
        <f>IF(D14="","",IF(ABS(C14+D14)=ABS(C14)+ABS(D14),IF(C14&lt;0,-1,1)*(C14-D14)/D14,"Turn"))</f>
        <v/>
      </c>
      <c r="D15" s="245" t="str">
        <f t="shared" ref="D15:M15" si="5">IF(E14="","",IF(ABS(D14+E14)=ABS(D14)+ABS(E14),IF(D14&lt;0,-1,1)*(D14-E14)/E14,"Turn"))</f>
        <v/>
      </c>
      <c r="E15" s="245" t="str">
        <f t="shared" si="5"/>
        <v/>
      </c>
      <c r="F15" s="245" t="str">
        <f t="shared" si="5"/>
        <v/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5" t="str">
        <f>IF(Inputs!C25="","",Inputs!C25)</f>
        <v/>
      </c>
      <c r="D16" s="205" t="str">
        <f>IF(Inputs!D25="","",Inputs!D25)</f>
        <v/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4">
      <c r="A17" s="4"/>
      <c r="B17" s="97" t="s">
        <v>124</v>
      </c>
      <c r="C17" s="205" t="str">
        <f>IF(Inputs!C23="","",Inputs!C23)</f>
        <v/>
      </c>
      <c r="D17" s="205" t="str">
        <f>IF(Inputs!D23="","",Inputs!D23)</f>
        <v/>
      </c>
      <c r="E17" s="205" t="str">
        <f>IF(Inputs!E23="","",Inputs!E23)</f>
        <v/>
      </c>
      <c r="F17" s="205" t="str">
        <f>IF(Inputs!F23="","",Inputs!F23)</f>
        <v/>
      </c>
      <c r="G17" s="205" t="str">
        <f>IF(Inputs!G23="","",Inputs!G23)</f>
        <v/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4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5" t="str">
        <f>IF(Inputs!C26="","",Inputs!C26)</f>
        <v/>
      </c>
      <c r="D19" s="205" t="str">
        <f>IF(Inputs!D26="","",Inputs!D26)</f>
        <v/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4">
      <c r="A20" s="4"/>
      <c r="B20" s="97" t="s">
        <v>248</v>
      </c>
      <c r="C20" s="154" t="e">
        <f t="shared" ref="C20:M20" si="7">IF(C6="","",MAX(C21,0)/C6)</f>
        <v>#VALUE!</v>
      </c>
      <c r="D20" s="154" t="str">
        <f t="shared" si="7"/>
        <v/>
      </c>
      <c r="E20" s="154" t="str">
        <f t="shared" si="7"/>
        <v/>
      </c>
      <c r="F20" s="154" t="str">
        <f t="shared" si="7"/>
        <v/>
      </c>
      <c r="G20" s="154" t="str">
        <f t="shared" si="7"/>
        <v/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5" t="str">
        <f>IF(Inputs!C27="","",Inputs!C27)</f>
        <v/>
      </c>
      <c r="D21" s="205" t="str">
        <f>IF(Inputs!D27="","",Inputs!D27)</f>
        <v/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4">
      <c r="A22" s="4"/>
      <c r="B22" s="98" t="s">
        <v>112</v>
      </c>
      <c r="C22" s="163" t="e">
        <f>IF(C6="","",C14-MAX(C16,0)-MAX(C17,0)-MAX(MAX(C21,0)-MAX(C19,0),0))</f>
        <v>#VALUE!</v>
      </c>
      <c r="D22" s="163" t="str">
        <f t="shared" ref="D22:M22" si="8">IF(D6="","",D14-MAX(D16,0)-MAX(D17,0)-MAX(MAX(D21,0)-MAX(D19,0),0))</f>
        <v/>
      </c>
      <c r="E22" s="163" t="str">
        <f t="shared" si="8"/>
        <v/>
      </c>
      <c r="F22" s="163" t="str">
        <f t="shared" si="8"/>
        <v/>
      </c>
      <c r="G22" s="163" t="str">
        <f t="shared" si="8"/>
        <v/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 t="e">
        <f t="shared" ref="C23:M23" si="9">IF(C6="","",C24/C6)</f>
        <v>#VALUE!</v>
      </c>
      <c r="D23" s="155" t="str">
        <f t="shared" si="9"/>
        <v/>
      </c>
      <c r="E23" s="155" t="str">
        <f t="shared" si="9"/>
        <v/>
      </c>
      <c r="F23" s="155" t="str">
        <f t="shared" si="9"/>
        <v/>
      </c>
      <c r="G23" s="155" t="str">
        <f t="shared" si="9"/>
        <v/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47" t="s">
        <v>131</v>
      </c>
      <c r="C25" s="246" t="str">
        <f>IF(D24="","",IF(ABS(C24+D24)=ABS(C24)+ABS(D24),IF(C24&lt;0,-1,1)*(C24-D24)/D24,"Turn"))</f>
        <v/>
      </c>
      <c r="D25" s="246" t="str">
        <f t="shared" ref="D25:M25" si="10">IF(E24="","",IF(ABS(D24+E24)=ABS(D24)+ABS(E24),IF(D24&lt;0,-1,1)*(D24-E24)/E24,"Turn"))</f>
        <v/>
      </c>
      <c r="E25" s="246" t="str">
        <f t="shared" si="10"/>
        <v/>
      </c>
      <c r="F25" s="246" t="str">
        <f t="shared" si="10"/>
        <v/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4">
      <c r="A26" s="16"/>
      <c r="B26" s="114" t="s">
        <v>138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4">
      <c r="A30" s="4"/>
      <c r="B30" s="94" t="s">
        <v>152</v>
      </c>
      <c r="C30" s="65">
        <f>Fin_Analysis!C18</f>
        <v>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5" t="str">
        <f>IF(Inputs!D31="","",Inputs!D31)</f>
        <v/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5" t="str">
        <f>IF(Inputs!D32="","",Inputs!D32)</f>
        <v/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141</v>
      </c>
      <c r="C36" s="65">
        <f>Fin_Analysis!D3</f>
        <v>0</v>
      </c>
      <c r="D36" s="205" t="str">
        <f>IF(Inputs!D35="","",Inputs!D35)</f>
        <v/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Fin_Analysis!D4</f>
        <v>0</v>
      </c>
      <c r="D37" s="205" t="str">
        <f>IF(Inputs!D36="","",Inputs!D36)</f>
        <v/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4">
      <c r="A38" s="4"/>
      <c r="B38" s="94" t="s">
        <v>140</v>
      </c>
      <c r="C38" s="65">
        <f>Fin_Analysis!C63</f>
        <v>0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4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162</v>
      </c>
      <c r="C40" s="157" t="e">
        <f>IF(C6="","",C14/MAX(C39,0))</f>
        <v>#VALUE!</v>
      </c>
      <c r="D40" s="157" t="str">
        <f>IF(D6="","",D14/MAX(D39,0))</f>
        <v/>
      </c>
      <c r="E40" s="157" t="str">
        <f>IF(E6="","",E14/MAX(E39,0))</f>
        <v/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 t="e">
        <f t="shared" ref="C42:M42" si="34">IF(C6="","",C8/C6)</f>
        <v>#VALUE!</v>
      </c>
      <c r="D42" s="158" t="str">
        <f t="shared" si="34"/>
        <v/>
      </c>
      <c r="E42" s="158" t="str">
        <f t="shared" si="34"/>
        <v/>
      </c>
      <c r="F42" s="158" t="str">
        <f t="shared" si="34"/>
        <v/>
      </c>
      <c r="G42" s="158" t="str">
        <f t="shared" si="34"/>
        <v/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247</v>
      </c>
      <c r="C43" s="155" t="e">
        <f t="shared" ref="C43:M43" si="35">IF(C6="","",(C10+MAX(C11,0))/C6)</f>
        <v>#VALUE!</v>
      </c>
      <c r="D43" s="155" t="str">
        <f t="shared" si="35"/>
        <v/>
      </c>
      <c r="E43" s="155" t="str">
        <f t="shared" si="35"/>
        <v/>
      </c>
      <c r="F43" s="155" t="str">
        <f t="shared" si="35"/>
        <v/>
      </c>
      <c r="G43" s="155" t="str">
        <f t="shared" si="35"/>
        <v/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 t="e">
        <f t="shared" ref="C44:M44" si="36">IF(C6="","",MAX(C16,0)/C6)</f>
        <v>#VALUE!</v>
      </c>
      <c r="D44" s="155" t="str">
        <f t="shared" si="36"/>
        <v/>
      </c>
      <c r="E44" s="155" t="str">
        <f t="shared" si="36"/>
        <v/>
      </c>
      <c r="F44" s="155" t="str">
        <f t="shared" si="36"/>
        <v/>
      </c>
      <c r="G44" s="155" t="str">
        <f t="shared" si="36"/>
        <v/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 t="e">
        <f t="shared" ref="C45:M45" si="37">IF(C6="","",MAX(C17,0)/C6)</f>
        <v>#VALUE!</v>
      </c>
      <c r="D45" s="155" t="str">
        <f t="shared" si="37"/>
        <v/>
      </c>
      <c r="E45" s="155" t="str">
        <f t="shared" si="37"/>
        <v/>
      </c>
      <c r="F45" s="155" t="str">
        <f t="shared" si="37"/>
        <v/>
      </c>
      <c r="G45" s="155" t="str">
        <f t="shared" si="37"/>
        <v/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132</v>
      </c>
      <c r="C46" s="155" t="e">
        <f>IF(C6="","",MAX(C12,0)/C6)</f>
        <v>#VALUE!</v>
      </c>
      <c r="D46" s="155" t="str">
        <f t="shared" ref="D46:M46" si="38">IF(D6="","",MAX(D12,0)/D6)</f>
        <v/>
      </c>
      <c r="E46" s="155" t="str">
        <f t="shared" si="38"/>
        <v/>
      </c>
      <c r="F46" s="155" t="str">
        <f t="shared" si="38"/>
        <v/>
      </c>
      <c r="G46" s="155" t="str">
        <f t="shared" si="38"/>
        <v/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249</v>
      </c>
      <c r="C47" s="155" t="e">
        <f>IF(C6="","",MAX(MAX(C21,0)-MAX(C19,0),0)/C6)</f>
        <v>#VALUE!</v>
      </c>
      <c r="D47" s="155" t="str">
        <f t="shared" ref="D47:M47" si="39">IF(D6="","",MAX(MAX(D21,0)-MAX(D19,0),0)/D6)</f>
        <v/>
      </c>
      <c r="E47" s="155" t="str">
        <f t="shared" si="39"/>
        <v/>
      </c>
      <c r="F47" s="155" t="str">
        <f t="shared" si="39"/>
        <v/>
      </c>
      <c r="G47" s="155" t="str">
        <f t="shared" si="39"/>
        <v/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 t="e">
        <f t="shared" ref="C48:M48" si="40">IF(C6="","",C22/C6)</f>
        <v>#VALUE!</v>
      </c>
      <c r="D48" s="155" t="str">
        <f t="shared" si="40"/>
        <v/>
      </c>
      <c r="E48" s="155" t="str">
        <f t="shared" si="40"/>
        <v/>
      </c>
      <c r="F48" s="155" t="str">
        <f t="shared" si="40"/>
        <v/>
      </c>
      <c r="G48" s="155" t="str">
        <f t="shared" si="40"/>
        <v/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150</v>
      </c>
      <c r="C50" s="158" t="e">
        <f t="shared" ref="C50:M50" si="41">IF(C29="","",C29/C6)</f>
        <v>#VALUE!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151</v>
      </c>
      <c r="C51" s="155" t="e">
        <f t="shared" ref="C51:M51" si="42">IF(C30="","",C30/C6)</f>
        <v>#VALUE!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 t="e">
        <f t="shared" ref="C54:M54" si="44">IF(OR(C22="",C35=""),"",IF(C35&lt;=0,"-",C22/C35))</f>
        <v>#VALUE!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 t="e">
        <f t="shared" ref="C55:M55" si="45">IF(C22="","",IF(MAX(C17,0)&lt;=0,"-",C17/C22))</f>
        <v>#VALUE!</v>
      </c>
      <c r="D55" s="155" t="str">
        <f t="shared" si="45"/>
        <v/>
      </c>
      <c r="E55" s="155" t="str">
        <f t="shared" si="45"/>
        <v/>
      </c>
      <c r="F55" s="155" t="str">
        <f t="shared" si="45"/>
        <v/>
      </c>
      <c r="G55" s="155" t="str">
        <f t="shared" si="45"/>
        <v/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E89" sqref="E8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9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4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117</v>
      </c>
      <c r="C13" s="40">
        <f>Inputs!C42</f>
        <v>0</v>
      </c>
      <c r="D13" s="204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4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4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2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Inputs!C60</f>
        <v>0</v>
      </c>
      <c r="D38" s="204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4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3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155</v>
      </c>
      <c r="C64" s="214"/>
      <c r="D64" s="214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156</v>
      </c>
      <c r="C69" s="214"/>
      <c r="D69" s="214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130</v>
      </c>
      <c r="C72" s="262">
        <f>Data!C5</f>
        <v>45381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129</v>
      </c>
      <c r="C74" s="77" t="str">
        <f>Data!C6</f>
        <v xml:space="preserve"> </v>
      </c>
      <c r="D74" s="215"/>
      <c r="E74" s="202" t="str">
        <f>H74</f>
        <v xml:space="preserve"> </v>
      </c>
      <c r="F74" s="215"/>
      <c r="H74" s="202" t="str">
        <f>C74</f>
        <v xml:space="preserve"> </v>
      </c>
      <c r="I74" s="215"/>
      <c r="K74" s="24"/>
    </row>
    <row r="75" spans="1:11" ht="15" customHeight="1" x14ac:dyDescent="0.4">
      <c r="B75" s="104" t="s">
        <v>106</v>
      </c>
      <c r="C75" s="77" t="str">
        <f>Data!C8</f>
        <v/>
      </c>
      <c r="D75" s="161" t="e">
        <f>C75/$C$74</f>
        <v>#VALUE!</v>
      </c>
      <c r="E75" s="202" t="e">
        <f>E74*D75</f>
        <v>#VALUE!</v>
      </c>
      <c r="F75" s="162" t="e">
        <f>E75/E74</f>
        <v>#VALUE!</v>
      </c>
      <c r="H75" s="202" t="e">
        <f>H74*D75</f>
        <v>#VALUE!</v>
      </c>
      <c r="I75" s="162" t="e">
        <f>H75/$H$74</f>
        <v>#VALUE!</v>
      </c>
      <c r="K75" s="24"/>
    </row>
    <row r="76" spans="1:11" ht="15" customHeight="1" x14ac:dyDescent="0.4">
      <c r="B76" s="35" t="s">
        <v>96</v>
      </c>
      <c r="C76" s="163" t="e">
        <f>C74-C75</f>
        <v>#VALUE!</v>
      </c>
      <c r="D76" s="216"/>
      <c r="E76" s="164" t="e">
        <f>E74-E75</f>
        <v>#VALUE!</v>
      </c>
      <c r="F76" s="216"/>
      <c r="H76" s="164" t="e">
        <f>H74-H75</f>
        <v>#VALUE!</v>
      </c>
      <c r="I76" s="216"/>
      <c r="K76" s="24"/>
    </row>
    <row r="77" spans="1:11" ht="15" customHeight="1" x14ac:dyDescent="0.4">
      <c r="B77" s="104" t="s">
        <v>265</v>
      </c>
      <c r="C77" s="77" t="e">
        <f>Data!C10+MAX(Data!C11,0)</f>
        <v>#VALUE!</v>
      </c>
      <c r="D77" s="161" t="e">
        <f>C77/$C$74</f>
        <v>#VALUE!</v>
      </c>
      <c r="E77" s="202" t="e">
        <f>E74*I77</f>
        <v>#VALUE!</v>
      </c>
      <c r="F77" s="162" t="e">
        <f>E77/E74</f>
        <v>#VALUE!</v>
      </c>
      <c r="H77" s="202" t="e">
        <f>H74*D77</f>
        <v>#VALUE!</v>
      </c>
      <c r="I77" s="162" t="e">
        <f>H77/$H$74</f>
        <v>#VALUE!</v>
      </c>
      <c r="K77" s="24"/>
    </row>
    <row r="78" spans="1:11" ht="15" customHeight="1" x14ac:dyDescent="0.4">
      <c r="B78" s="35" t="s">
        <v>245</v>
      </c>
      <c r="C78" s="163" t="e">
        <f>C76-C77</f>
        <v>#VALUE!</v>
      </c>
      <c r="D78" s="216"/>
      <c r="E78" s="164" t="e">
        <f>E76-E77</f>
        <v>#VALUE!</v>
      </c>
      <c r="F78" s="216"/>
      <c r="H78" s="164" t="e">
        <f>H76-H77</f>
        <v>#VALUE!</v>
      </c>
      <c r="I78" s="216"/>
      <c r="K78" s="24"/>
    </row>
    <row r="79" spans="1:11" ht="15" customHeight="1" x14ac:dyDescent="0.4">
      <c r="B79" s="104" t="s">
        <v>124</v>
      </c>
      <c r="C79" s="77">
        <f>MAX(Data!C17,0)</f>
        <v>0</v>
      </c>
      <c r="D79" s="161" t="e">
        <f>C79/$C$74</f>
        <v>#VALUE!</v>
      </c>
      <c r="E79" s="183" t="e">
        <f>E74*F79</f>
        <v>#VALUE!</v>
      </c>
      <c r="F79" s="162" t="e">
        <f t="shared" ref="F79:F84" si="3">I79</f>
        <v>#VALUE!</v>
      </c>
      <c r="H79" s="202" t="e">
        <f>H74*D79</f>
        <v>#VALUE!</v>
      </c>
      <c r="I79" s="162" t="e">
        <f>H79/$H$74</f>
        <v>#VALUE!</v>
      </c>
      <c r="K79" s="24"/>
    </row>
    <row r="80" spans="1:11" ht="15" customHeight="1" x14ac:dyDescent="0.4">
      <c r="B80" s="28" t="s">
        <v>264</v>
      </c>
      <c r="C80" s="77">
        <f>MAX(MAX(Data!C21,0)-MAX(Data!C19,0),0)</f>
        <v>0</v>
      </c>
      <c r="D80" s="161" t="e">
        <f>C80/$C$74</f>
        <v>#VALUE!</v>
      </c>
      <c r="E80" s="202" t="e">
        <f>E74*I80</f>
        <v>#VALUE!</v>
      </c>
      <c r="F80" s="162" t="e">
        <f>E80/E74</f>
        <v>#VALUE!</v>
      </c>
      <c r="H80" s="202" t="e">
        <f>H74*D80</f>
        <v>#VALUE!</v>
      </c>
      <c r="I80" s="162" t="e">
        <f>H80/$H$74</f>
        <v>#VALUE!</v>
      </c>
      <c r="K80" s="24"/>
    </row>
    <row r="81" spans="1:11" ht="15" customHeight="1" x14ac:dyDescent="0.4">
      <c r="B81" s="28" t="s">
        <v>110</v>
      </c>
      <c r="C81" s="77">
        <f>MAX(Data!C16,0)</f>
        <v>0</v>
      </c>
      <c r="D81" s="161" t="e">
        <f>C81/$C$74</f>
        <v>#VALUE!</v>
      </c>
      <c r="E81" s="183" t="e">
        <f>E74*F81</f>
        <v>#VALUE!</v>
      </c>
      <c r="F81" s="162" t="e">
        <f t="shared" si="3"/>
        <v>#VALUE!</v>
      </c>
      <c r="H81" s="202" t="e">
        <f>H74*D81</f>
        <v>#VALUE!</v>
      </c>
      <c r="I81" s="162" t="e">
        <f>H81/$H$74</f>
        <v>#VALUE!</v>
      </c>
      <c r="K81" s="184" t="s">
        <v>134</v>
      </c>
    </row>
    <row r="82" spans="1:11" ht="15" customHeight="1" x14ac:dyDescent="0.4">
      <c r="B82" s="73" t="s">
        <v>177</v>
      </c>
      <c r="C82" s="77">
        <f>MAX(Data!C12,0)</f>
        <v>0</v>
      </c>
      <c r="D82" s="161" t="e">
        <f>C82/$C$74</f>
        <v>#VALUE!</v>
      </c>
      <c r="E82" s="183" t="e">
        <f>E74*F82</f>
        <v>#VALUE!</v>
      </c>
      <c r="F82" s="162" t="e">
        <f t="shared" si="3"/>
        <v>#VALUE!</v>
      </c>
      <c r="H82" s="202" t="e">
        <f>H74*D82</f>
        <v>#VALUE!</v>
      </c>
      <c r="I82" s="162" t="e">
        <f>H82/$H$74</f>
        <v>#VALUE!</v>
      </c>
      <c r="K82" s="24"/>
    </row>
    <row r="83" spans="1:11" ht="15" customHeight="1" thickBot="1" x14ac:dyDescent="0.45">
      <c r="B83" s="105" t="s">
        <v>128</v>
      </c>
      <c r="C83" s="165" t="e">
        <f>C78-C79-C80-C81-C82</f>
        <v>#VALUE!</v>
      </c>
      <c r="D83" s="166" t="e">
        <f>C83/$C$74</f>
        <v>#VALUE!</v>
      </c>
      <c r="E83" s="167" t="e">
        <f>E78-E79-E80-E81-E82</f>
        <v>#VALUE!</v>
      </c>
      <c r="F83" s="166" t="e">
        <f>E83/E74</f>
        <v>#VALUE!</v>
      </c>
      <c r="H83" s="167" t="e">
        <f>H78-H79-H80-H81-H82</f>
        <v>#VALUE!</v>
      </c>
      <c r="I83" s="166" t="e">
        <f>H83/$H$74</f>
        <v>#VALUE!</v>
      </c>
      <c r="K83" s="24"/>
    </row>
    <row r="84" spans="1:11" ht="15" customHeight="1" thickTop="1" x14ac:dyDescent="0.4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4">
      <c r="B85" s="86" t="s">
        <v>169</v>
      </c>
      <c r="C85" s="163" t="e">
        <f>C83*(1-I84)</f>
        <v>#VALUE!</v>
      </c>
      <c r="D85" s="168" t="e">
        <f>C85/$C$74</f>
        <v>#VALUE!</v>
      </c>
      <c r="E85" s="169" t="e">
        <f>E83*(1-F84)</f>
        <v>#VALUE!</v>
      </c>
      <c r="F85" s="168" t="e">
        <f>E85/E74</f>
        <v>#VALUE!</v>
      </c>
      <c r="H85" s="169" t="e">
        <f>H83*(1-I84)</f>
        <v>#VALUE!</v>
      </c>
      <c r="I85" s="168" t="e">
        <f>H85/$H$74</f>
        <v>#VALUE!</v>
      </c>
      <c r="K85" s="24"/>
    </row>
    <row r="86" spans="1:11" ht="15" customHeight="1" x14ac:dyDescent="0.4">
      <c r="B86" s="87" t="s">
        <v>165</v>
      </c>
      <c r="C86" s="170" t="e">
        <f>C85*Data!C4/Common_Shares</f>
        <v>#VALUE!</v>
      </c>
      <c r="D86" s="215"/>
      <c r="E86" s="171" t="e">
        <f>E85*Data!C4/Common_Shares</f>
        <v>#VALUE!</v>
      </c>
      <c r="F86" s="215"/>
      <c r="H86" s="171" t="e">
        <f>H85*Data!C4/Common_Shares</f>
        <v>#VALUE!</v>
      </c>
      <c r="I86" s="215"/>
      <c r="K86" s="24"/>
    </row>
    <row r="87" spans="1:11" ht="15" customHeight="1" x14ac:dyDescent="0.4">
      <c r="B87" s="87" t="s">
        <v>216</v>
      </c>
      <c r="C87" s="162" t="e">
        <f>C86*Exchange_Rate/Dashboard!G3</f>
        <v>#VALUE!</v>
      </c>
      <c r="D87" s="215"/>
      <c r="E87" s="233" t="e">
        <f>E86*Exchange_Rate/Dashboard!G3</f>
        <v>#VALUE!</v>
      </c>
      <c r="F87" s="215"/>
      <c r="H87" s="233" t="e">
        <f>H86*Exchange_Rate/Dashboard!G3</f>
        <v>#VALUE!</v>
      </c>
      <c r="I87" s="215"/>
      <c r="K87" s="24"/>
    </row>
    <row r="88" spans="1:11" ht="15" customHeight="1" x14ac:dyDescent="0.4">
      <c r="B88" s="86" t="s">
        <v>215</v>
      </c>
      <c r="C88" s="172">
        <f>Inputs!F5</f>
        <v>0</v>
      </c>
      <c r="D88" s="168" t="e">
        <f>C88/C86</f>
        <v>#VALUE!</v>
      </c>
      <c r="E88" s="201">
        <f>H88</f>
        <v>0</v>
      </c>
      <c r="F88" s="168" t="e">
        <f>E88/E86</f>
        <v>#VALUE!</v>
      </c>
      <c r="H88" s="173">
        <f>Inputs!F6</f>
        <v>0</v>
      </c>
      <c r="I88" s="168" t="e">
        <f>H88/H86</f>
        <v>#VALUE!</v>
      </c>
      <c r="K88" s="24"/>
    </row>
    <row r="89" spans="1:11" ht="15" customHeight="1" x14ac:dyDescent="0.4">
      <c r="B89" s="87" t="s">
        <v>231</v>
      </c>
      <c r="C89" s="162">
        <f>C88*Exchange_Rate/Dashboard!G3</f>
        <v>0</v>
      </c>
      <c r="D89" s="215"/>
      <c r="E89" s="162">
        <f>E88*Exchange_Rate/Dashboard!G3</f>
        <v>0</v>
      </c>
      <c r="F89" s="215"/>
      <c r="H89" s="162">
        <f>H88*Exchange_Rate/Dashboard!G3</f>
        <v>0</v>
      </c>
      <c r="I89" s="21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159</v>
      </c>
      <c r="C91" s="21"/>
      <c r="K91" s="50" t="s">
        <v>136</v>
      </c>
    </row>
    <row r="92" spans="1:11" ht="15" customHeight="1" x14ac:dyDescent="0.4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4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 t="e">
        <f>FV(E87,D93,0,-(E86/C93))</f>
        <v>#VALUE!</v>
      </c>
      <c r="H93" s="87" t="s">
        <v>217</v>
      </c>
      <c r="I93" s="145" t="e">
        <f>FV(H87,D93,0,-(H86/C93))</f>
        <v>#VALUE!</v>
      </c>
      <c r="K93" s="24"/>
    </row>
    <row r="94" spans="1:11" ht="15" customHeight="1" x14ac:dyDescent="0.4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0</v>
      </c>
      <c r="H94" s="87" t="s">
        <v>218</v>
      </c>
      <c r="I94" s="145">
        <f>FV(H89,D93,0,-(H88/C93))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4">
      <c r="B97" s="1" t="s">
        <v>133</v>
      </c>
      <c r="C97" s="91" t="e">
        <f>H97*Common_Shares/Data!C4</f>
        <v>#VALUE!</v>
      </c>
      <c r="D97" s="219"/>
      <c r="E97" s="123" t="e">
        <f>PV(C93,D93,0,-F93)*Exchange_Rate</f>
        <v>#VALUE!</v>
      </c>
      <c r="F97" s="219"/>
      <c r="H97" s="123" t="e">
        <f>PV(C93,D93,0,-I93)*Exchange_Rate</f>
        <v>#VALUE!</v>
      </c>
      <c r="I97" s="221"/>
      <c r="K97" s="24"/>
    </row>
    <row r="98" spans="2:11" ht="15" customHeight="1" x14ac:dyDescent="0.4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45">
      <c r="B99" s="105" t="s">
        <v>149</v>
      </c>
      <c r="C99" s="108">
        <f>(E65-IF(E70&lt;0,MIN(E65,ABS(E70)),0))*Exchange_Rate</f>
        <v>0</v>
      </c>
      <c r="D99" s="220"/>
      <c r="E99" s="147">
        <f>IF(H99&gt;0,H99*0.85,H99*1.15)</f>
        <v>0</v>
      </c>
      <c r="F99" s="220"/>
      <c r="H99" s="147">
        <f>C99*Data!$C$4/Common_Shares</f>
        <v>0</v>
      </c>
      <c r="I99" s="222"/>
      <c r="K99" s="24"/>
    </row>
    <row r="100" spans="2:11" ht="15" customHeight="1" thickTop="1" x14ac:dyDescent="0.4">
      <c r="B100" s="1" t="s">
        <v>115</v>
      </c>
      <c r="C100" s="91" t="e">
        <f>C97-C98+$C$99</f>
        <v>#VALUE!</v>
      </c>
      <c r="D100" s="109" t="e">
        <f>F100*(1-C94)</f>
        <v>#VALUE!</v>
      </c>
      <c r="E100" s="109" t="e">
        <f>MAX(E97-H98+E99,0)</f>
        <v>#VALUE!</v>
      </c>
      <c r="F100" s="109" t="e">
        <f>(E100+H100)/2</f>
        <v>#VALUE!</v>
      </c>
      <c r="H100" s="109" t="e">
        <f>MAX(C100*Data!$C$4/Common_Shares,0)</f>
        <v>#VALUE!</v>
      </c>
      <c r="I100" s="109" t="e">
        <f>F100*1.25</f>
        <v>#VALUE!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4">
      <c r="B103" s="1" t="s">
        <v>166</v>
      </c>
      <c r="C103" s="91">
        <f>H103*Common_Shares/Data!C4</f>
        <v>0</v>
      </c>
      <c r="D103" s="109">
        <f>F103*(1-C94)</f>
        <v>0</v>
      </c>
      <c r="E103" s="123">
        <f>PV(C93,D93,0,-F94)*Exchange_Rate</f>
        <v>0</v>
      </c>
      <c r="F103" s="109">
        <f>(E103+H103)/2</f>
        <v>0</v>
      </c>
      <c r="H103" s="123">
        <f>PV(C93,D93,0,-I94)*Exchange_Rate</f>
        <v>0</v>
      </c>
      <c r="I103" s="109">
        <f>F103*1.25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4">
      <c r="B106" s="1" t="s">
        <v>206</v>
      </c>
      <c r="C106" s="91" t="e">
        <f>E106*Common_Shares/Data!C4</f>
        <v>#VALUE!</v>
      </c>
      <c r="D106" s="109" t="e">
        <f>(D100+D103)/2</f>
        <v>#VALUE!</v>
      </c>
      <c r="E106" s="123" t="e">
        <f>(E100+E103)/2</f>
        <v>#VALUE!</v>
      </c>
      <c r="F106" s="109" t="e">
        <f>(F100+F103)/2</f>
        <v>#VALUE!</v>
      </c>
      <c r="H106" s="123" t="e">
        <f>(H100+H103)/2</f>
        <v>#VALUE!</v>
      </c>
      <c r="I106" s="123" t="e">
        <f>(I100+I103)/2</f>
        <v>#VALUE!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170</v>
      </c>
      <c r="C108" s="188" t="s">
        <v>260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2024-11-21T10:02:14Z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