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13_ncr:1_{7CF5DA8B-2B17-DC41-B647-7EA05D6BA5B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69" i="4" l="1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32" i="4"/>
  <c r="C32" i="4"/>
  <c r="D31" i="4"/>
  <c r="C31" i="4"/>
  <c r="D27" i="4"/>
  <c r="C27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53" i="4" l="1"/>
  <c r="D33" i="2"/>
  <c r="C43" i="1"/>
  <c r="C40" i="1"/>
  <c r="C39" i="1"/>
  <c r="C37" i="1"/>
  <c r="C36" i="1"/>
  <c r="C98" i="4"/>
  <c r="F98" i="4" s="1"/>
  <c r="E98" i="4" s="1"/>
  <c r="D93" i="3"/>
  <c r="C93" i="4"/>
  <c r="C92" i="4"/>
  <c r="C91" i="4"/>
  <c r="F91" i="4" l="1"/>
  <c r="E91" i="4"/>
  <c r="I12" i="2"/>
  <c r="J12" i="2"/>
  <c r="K12" i="2"/>
  <c r="L12" i="2"/>
  <c r="M12" i="2"/>
  <c r="H88" i="3" l="1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F97" i="4" s="1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E92" i="4" l="1"/>
  <c r="F92" i="4"/>
  <c r="E93" i="4"/>
  <c r="F93" i="4"/>
  <c r="I103" i="3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E48" i="2"/>
  <c r="C34" i="2"/>
  <c r="C33" i="2"/>
  <c r="C47" i="3"/>
  <c r="C45" i="3"/>
  <c r="C27" i="3"/>
  <c r="C26" i="3"/>
  <c r="C44" i="3"/>
  <c r="C46" i="3"/>
  <c r="F96" i="4" l="1"/>
  <c r="H80" i="3" s="1"/>
  <c r="I80" i="3" s="1"/>
  <c r="C35" i="2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C23" i="1" l="1"/>
  <c r="F80" i="3"/>
  <c r="E80" i="3" s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F94" i="4" l="1"/>
  <c r="H81" i="3" s="1"/>
  <c r="I81" i="3" s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95" i="4" l="1"/>
  <c r="F95" i="4"/>
  <c r="E82" i="3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D106" i="3" l="1"/>
  <c r="C29" i="1" s="1"/>
</calcChain>
</file>

<file path=xl/sharedStrings.xml><?xml version="1.0" encoding="utf-8"?>
<sst xmlns="http://schemas.openxmlformats.org/spreadsheetml/2006/main" count="392" uniqueCount="269">
  <si>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</si>
  <si>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</si>
  <si>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</si>
  <si>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</si>
  <si>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</si>
  <si>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</si>
  <si>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</si>
  <si>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</si>
  <si>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</si>
  <si>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</si>
  <si>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</si>
  <si>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</si>
  <si>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</si>
  <si>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</si>
  <si>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</si>
  <si>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</si>
  <si>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</si>
  <si>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</si>
  <si>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</si>
  <si>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</si>
  <si>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</si>
  <si>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</si>
  <si>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</si>
  <si>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</si>
  <si>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</si>
  <si>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</si>
  <si>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</si>
  <si>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</si>
  <si>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</si>
  <si>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</si>
  <si>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</si>
  <si>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</si>
  <si>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</si>
  <si>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</si>
  <si>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</si>
  <si>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</si>
  <si>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</si>
  <si>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</si>
  <si>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</si>
  <si>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</si>
  <si>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</si>
  <si>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</si>
  <si>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</si>
  <si>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</si>
  <si>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</si>
  <si>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</si>
  <si>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</si>
  <si>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</si>
  <si>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</si>
  <si>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</si>
  <si>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</si>
  <si>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</si>
  <si>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</si>
  <si>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</si>
  <si>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</si>
  <si>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</si>
  <si>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</si>
  <si>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</si>
  <si>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</si>
  <si>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</si>
  <si>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</si>
  <si>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</si>
  <si>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</si>
  <si>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</si>
  <si>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</si>
  <si>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</si>
  <si>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</si>
  <si>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</si>
  <si>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</si>
  <si>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</si>
  <si>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</si>
  <si>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</si>
  <si>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</si>
  <si>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</si>
  <si>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</si>
  <si>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</si>
  <si>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</si>
  <si>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</si>
  <si>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</si>
  <si>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</si>
  <si>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</si>
  <si>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</si>
  <si>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</si>
  <si>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</si>
  <si>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</si>
  <si>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</si>
  <si>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</si>
  <si>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</si>
  <si>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</si>
  <si>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</si>
  <si>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</si>
  <si>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</si>
  <si>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</si>
  <si>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</si>
  <si>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</si>
  <si>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</si>
  <si>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</si>
  <si>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</si>
  <si>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</si>
  <si>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</si>
  <si>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</si>
  <si>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</si>
  <si>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</si>
  <si>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</si>
  <si>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</si>
  <si>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</si>
  <si>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</si>
  <si>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</si>
  <si>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</si>
  <si>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</si>
  <si>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</si>
  <si>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</si>
  <si>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</si>
  <si>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</si>
  <si>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</si>
  <si>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</si>
  <si>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</si>
  <si>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</si>
  <si>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</si>
  <si>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</si>
  <si>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</si>
  <si>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</si>
  <si>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</si>
  <si>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</si>
  <si>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</si>
  <si>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</si>
  <si>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</si>
  <si>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</si>
  <si>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</si>
  <si>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</si>
  <si>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</si>
  <si>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</si>
  <si>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</si>
  <si>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</si>
  <si>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</si>
  <si>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</si>
  <si>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</si>
  <si>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</si>
  <si>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</si>
  <si>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</si>
  <si>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</si>
  <si>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</si>
  <si>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</si>
  <si>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</si>
  <si>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</si>
  <si>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</si>
  <si>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</si>
  <si>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</si>
  <si>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</si>
  <si>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</si>
  <si>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</si>
  <si>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</si>
  <si>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</si>
  <si>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</si>
  <si>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</si>
  <si>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</si>
  <si>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</si>
  <si>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</si>
  <si>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</si>
  <si>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</si>
  <si>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</si>
  <si>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</si>
  <si>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</si>
  <si>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</si>
  <si>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</si>
  <si>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</si>
  <si>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</si>
  <si>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</si>
  <si>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</si>
  <si>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</si>
  <si>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</si>
  <si>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</si>
  <si>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</si>
  <si>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</si>
  <si>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</si>
  <si>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</si>
  <si>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</si>
  <si>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</si>
  <si>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</si>
  <si>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</si>
  <si>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</si>
  <si>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</si>
  <si>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</si>
  <si>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</si>
  <si>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</si>
  <si>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</si>
  <si>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</si>
  <si>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</si>
  <si>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</si>
  <si>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</si>
  <si>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</si>
  <si>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</si>
  <si>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</si>
  <si>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</si>
  <si>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</si>
  <si>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</si>
  <si>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</si>
  <si>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</si>
  <si>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</si>
  <si>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</si>
  <si>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</si>
  <si>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</si>
  <si>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</si>
  <si>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</si>
  <si>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</si>
  <si>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</si>
  <si>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</si>
  <si>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</si>
  <si>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</si>
  <si>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</si>
  <si>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</si>
  <si>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</si>
  <si>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</si>
  <si>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</si>
  <si>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</si>
  <si>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</si>
  <si>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</si>
  <si>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</si>
  <si>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</si>
  <si>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</si>
  <si>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</si>
  <si>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</si>
  <si>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</si>
  <si>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</si>
  <si>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</si>
  <si>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</si>
  <si>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</si>
  <si>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</si>
  <si>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</si>
  <si>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</si>
  <si>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</si>
  <si>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</si>
  <si>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</si>
  <si>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</si>
  <si>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</si>
  <si>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</si>
  <si>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</si>
  <si>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</si>
  <si>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</si>
  <si>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</si>
  <si>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</si>
  <si>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</si>
  <si>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</si>
  <si>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</si>
  <si>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</si>
  <si>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</si>
  <si>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</si>
  <si>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</si>
  <si>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</si>
  <si>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</si>
  <si>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</si>
  <si>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</si>
  <si>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</si>
  <si>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</si>
  <si>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</si>
  <si>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</si>
  <si>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</si>
  <si>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</si>
  <si>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</si>
  <si>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</si>
  <si>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0831.HK</t>
  </si>
  <si>
    <t>利亞零售</t>
  </si>
  <si>
    <t>C0007</t>
  </si>
  <si>
    <t>HK Tax Rate</t>
  </si>
  <si>
    <t>disagree</t>
  </si>
  <si>
    <t>Commodity-type Business</t>
  </si>
  <si>
    <t>Avg</t>
  </si>
  <si>
    <t>HKD</t>
    <phoneticPr fontId="20" type="noConversion"/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</si>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</sst>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  <numFmt numFmtId="175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72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64" fontId="4" fillId="0" borderId="0" xfId="0" applyNumberFormat="1" applyFont="1" applyAlignment="1">
      <alignment horizontal="center"/>
    </xf>
    <xf numFmtId="172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69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73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74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73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73" fontId="2" fillId="8" borderId="17" xfId="0" applyNumberFormat="1" applyFont="1" applyFill="1" applyBorder="1" applyAlignment="1">
      <alignment horizontal="right"/>
    </xf>
    <xf numFmtId="169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68" fontId="1" fillId="0" borderId="14" xfId="0" applyNumberFormat="1" applyFont="1" applyBorder="1" applyAlignment="1">
      <alignment horizontal="right"/>
    </xf>
    <xf numFmtId="175" fontId="2" fillId="8" borderId="3" xfId="0" applyNumberFormat="1" applyFont="1" applyFill="1" applyBorder="1" applyAlignment="1">
      <alignment horizontal="center"/>
    </xf>
    <xf numFmtId="175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0.46570281556597115</c:v>
                </c:pt>
                <c:pt idx="1">
                  <c:v>0.49096154234108225</c:v>
                </c:pt>
                <c:pt idx="2">
                  <c:v>0</c:v>
                </c:pt>
                <c:pt idx="3">
                  <c:v>3.9525516276755275E-2</c:v>
                </c:pt>
                <c:pt idx="4">
                  <c:v>0</c:v>
                </c:pt>
                <c:pt idx="5">
                  <c:v>0.11560295610891069</c:v>
                </c:pt>
                <c:pt idx="6">
                  <c:v>-0.11179283029271934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zoomScaleNormal="100" workbookViewId="0">
      <selection activeCell="D13" sqref="D13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5" ht="16" x14ac:dyDescent="0.2">
      <c r="A2" s="5"/>
      <c r="B2" s="6" t="s">
        <v>215</v>
      </c>
    </row>
    <row r="4" spans="1:5" ht="14" x14ac:dyDescent="0.15">
      <c r="B4" s="141" t="s">
        <v>195</v>
      </c>
      <c r="C4" s="188" t="s">
        <v>260</v>
      </c>
    </row>
    <row r="5" spans="1:5" ht="14" x14ac:dyDescent="0.15">
      <c r="B5" s="141" t="s">
        <v>196</v>
      </c>
      <c r="C5" s="191" t="s">
        <v>261</v>
      </c>
    </row>
    <row r="6" spans="1:5" ht="14" x14ac:dyDescent="0.15">
      <c r="B6" s="141" t="s">
        <v>164</v>
      </c>
      <c r="C6" s="189">
        <v>45624</v>
      </c>
    </row>
    <row r="7" spans="1:5" ht="14" x14ac:dyDescent="0.15">
      <c r="B7" s="140" t="s">
        <v>4</v>
      </c>
      <c r="C7" s="190">
        <v>8</v>
      </c>
    </row>
    <row r="8" spans="1:5" ht="14" x14ac:dyDescent="0.15">
      <c r="B8" s="140" t="s">
        <v>216</v>
      </c>
      <c r="C8" s="191" t="s">
        <v>71</v>
      </c>
      <c r="E8" s="267"/>
    </row>
    <row r="9" spans="1:5" ht="14" x14ac:dyDescent="0.15">
      <c r="B9" s="140" t="s">
        <v>217</v>
      </c>
      <c r="C9" s="192" t="s">
        <v>262</v>
      </c>
    </row>
    <row r="10" spans="1:5" ht="14" x14ac:dyDescent="0.15">
      <c r="B10" s="140" t="s">
        <v>218</v>
      </c>
      <c r="C10" s="193">
        <v>777416974</v>
      </c>
    </row>
    <row r="11" spans="1:5" ht="14" x14ac:dyDescent="0.15">
      <c r="B11" s="140" t="s">
        <v>219</v>
      </c>
      <c r="C11" s="192" t="s">
        <v>2</v>
      </c>
    </row>
    <row r="12" spans="1:5" ht="14" x14ac:dyDescent="0.15">
      <c r="B12" s="218" t="s">
        <v>10</v>
      </c>
      <c r="C12" s="219">
        <v>45291</v>
      </c>
    </row>
    <row r="13" spans="1:5" ht="14" x14ac:dyDescent="0.15">
      <c r="B13" s="218" t="s">
        <v>11</v>
      </c>
      <c r="C13" s="220">
        <v>1000</v>
      </c>
    </row>
    <row r="14" spans="1:5" ht="14" x14ac:dyDescent="0.15">
      <c r="B14" s="218" t="s">
        <v>220</v>
      </c>
      <c r="C14" s="219">
        <v>45473</v>
      </c>
    </row>
    <row r="15" spans="1:5" ht="14" x14ac:dyDescent="0.15">
      <c r="B15" s="218" t="s">
        <v>256</v>
      </c>
      <c r="C15" s="176" t="s">
        <v>190</v>
      </c>
    </row>
    <row r="16" spans="1:5" ht="14" x14ac:dyDescent="0.15">
      <c r="B16" s="222" t="s">
        <v>97</v>
      </c>
      <c r="C16" s="223">
        <v>0.16500000000000001</v>
      </c>
      <c r="D16" s="24" t="s">
        <v>263</v>
      </c>
    </row>
    <row r="17" spans="2:13" ht="14" x14ac:dyDescent="0.15">
      <c r="B17" s="240" t="s">
        <v>225</v>
      </c>
      <c r="C17" s="242" t="s">
        <v>264</v>
      </c>
      <c r="D17" s="24"/>
    </row>
    <row r="18" spans="2:13" ht="14" x14ac:dyDescent="0.15">
      <c r="B18" s="240" t="s">
        <v>239</v>
      </c>
      <c r="C18" s="242" t="s">
        <v>246</v>
      </c>
      <c r="D18" s="24"/>
    </row>
    <row r="19" spans="2:13" ht="14" x14ac:dyDescent="0.15">
      <c r="B19" s="240" t="s">
        <v>240</v>
      </c>
      <c r="C19" s="242" t="s">
        <v>246</v>
      </c>
      <c r="D19" s="24"/>
    </row>
    <row r="20" spans="2:13" ht="14" x14ac:dyDescent="0.15">
      <c r="B20" s="241" t="s">
        <v>229</v>
      </c>
      <c r="C20" s="242" t="s">
        <v>246</v>
      </c>
      <c r="D20" s="24"/>
    </row>
    <row r="21" spans="2:13" ht="14" x14ac:dyDescent="0.15">
      <c r="B21" s="224" t="s">
        <v>232</v>
      </c>
      <c r="C21" s="242" t="s">
        <v>264</v>
      </c>
      <c r="D21" s="24"/>
    </row>
    <row r="22" spans="2:13" ht="84" x14ac:dyDescent="0.15">
      <c r="B22" s="226" t="s">
        <v>231</v>
      </c>
      <c r="C22" s="243" t="s">
        <v>265</v>
      </c>
      <c r="D22" s="24"/>
    </row>
    <row r="24" spans="2:13" ht="15" x14ac:dyDescent="0.15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5" x14ac:dyDescent="0.15">
      <c r="B25" s="94" t="s">
        <v>12</v>
      </c>
      <c r="C25" s="149">
        <v>1487090</v>
      </c>
      <c r="D25" s="149">
        <v>1462864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5" x14ac:dyDescent="0.15">
      <c r="B26" s="97" t="s">
        <v>106</v>
      </c>
      <c r="C26" s="150">
        <v>692542</v>
      </c>
      <c r="D26" s="150">
        <v>723325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5" x14ac:dyDescent="0.15">
      <c r="B27" s="97" t="s">
        <v>104</v>
      </c>
      <c r="C27" s="150">
        <f>533247+84045+112812</f>
        <v>730104</v>
      </c>
      <c r="D27" s="150">
        <f>468717+87819+109122</f>
        <v>665658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5" x14ac:dyDescent="0.15">
      <c r="B28" s="97" t="s">
        <v>107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5" x14ac:dyDescent="0.15">
      <c r="B29" s="97" t="s">
        <v>257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4" x14ac:dyDescent="0.15">
      <c r="B30" s="99" t="s">
        <v>111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5" x14ac:dyDescent="0.15">
      <c r="B31" s="97" t="s">
        <v>110</v>
      </c>
      <c r="C31" s="150">
        <f>287520-228742</f>
        <v>58778</v>
      </c>
      <c r="D31" s="150">
        <f>283189-244840</f>
        <v>38349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5" x14ac:dyDescent="0.15">
      <c r="B32" s="97" t="s">
        <v>105</v>
      </c>
      <c r="C32" s="150">
        <f>45846+161146+2947</f>
        <v>209939</v>
      </c>
      <c r="D32" s="150">
        <f>42318+145169+2947</f>
        <v>190434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5" x14ac:dyDescent="0.15">
      <c r="B33" s="97" t="s">
        <v>108</v>
      </c>
      <c r="C33" s="150">
        <v>38027</v>
      </c>
      <c r="D33" s="150">
        <v>60606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5" x14ac:dyDescent="0.15">
      <c r="B34" s="94" t="s">
        <v>15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5" x14ac:dyDescent="0.15">
      <c r="B35" s="94" t="s">
        <v>117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5" x14ac:dyDescent="0.15">
      <c r="B36" s="94" t="s">
        <v>149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5" x14ac:dyDescent="0.15">
      <c r="B37" s="94" t="s">
        <v>16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5" x14ac:dyDescent="0.15">
      <c r="B38" s="94" t="s">
        <v>116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5" x14ac:dyDescent="0.15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5" x14ac:dyDescent="0.15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5" x14ac:dyDescent="0.15">
      <c r="B41" s="94" t="s">
        <v>138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5" x14ac:dyDescent="0.15">
      <c r="B42" s="94" t="s">
        <v>139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5" x14ac:dyDescent="0.15">
      <c r="B43" s="94" t="s">
        <v>137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4" x14ac:dyDescent="0.15">
      <c r="B44" s="74" t="s">
        <v>208</v>
      </c>
      <c r="C44" s="250">
        <f>0.02+0.04</f>
        <v>0.06</v>
      </c>
      <c r="D44" s="250">
        <f>0.05+0.02</f>
        <v>7.0000000000000007E-2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4" x14ac:dyDescent="0.15">
      <c r="B45" s="74" t="s">
        <v>253</v>
      </c>
      <c r="C45" s="152">
        <f>IF(C44="","",C44*Exchange_Rate/Dashboard!$G$3)</f>
        <v>0.13793103448275862</v>
      </c>
      <c r="D45" s="152">
        <f>IF(D44="","",D44*Exchange_Rate/Dashboard!$G$3)</f>
        <v>0.16091954022988508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4" x14ac:dyDescent="0.15">
      <c r="B47" s="10" t="s">
        <v>250</v>
      </c>
      <c r="C47" s="194" t="s">
        <v>34</v>
      </c>
      <c r="D47" s="194" t="s">
        <v>197</v>
      </c>
      <c r="E47" s="111" t="s">
        <v>36</v>
      </c>
    </row>
    <row r="48" spans="2:13" ht="14" x14ac:dyDescent="0.15">
      <c r="B48" s="3" t="s">
        <v>38</v>
      </c>
      <c r="C48" s="59"/>
      <c r="D48" s="60">
        <v>0.9</v>
      </c>
      <c r="E48" s="112"/>
    </row>
    <row r="49" spans="2:5" ht="14" x14ac:dyDescent="0.15">
      <c r="B49" s="1" t="s">
        <v>136</v>
      </c>
      <c r="C49" s="59"/>
      <c r="D49" s="60">
        <v>0.8</v>
      </c>
      <c r="E49" s="112"/>
    </row>
    <row r="50" spans="2:5" ht="14" x14ac:dyDescent="0.15">
      <c r="B50" s="3" t="s">
        <v>117</v>
      </c>
      <c r="C50" s="59"/>
      <c r="D50" s="60">
        <f>D51</f>
        <v>0.6</v>
      </c>
      <c r="E50" s="112"/>
    </row>
    <row r="51" spans="2:5" ht="14" x14ac:dyDescent="0.15">
      <c r="B51" s="3" t="s">
        <v>42</v>
      </c>
      <c r="C51" s="59"/>
      <c r="D51" s="60">
        <v>0.6</v>
      </c>
      <c r="E51" s="112"/>
    </row>
    <row r="52" spans="2:5" ht="14" x14ac:dyDescent="0.15">
      <c r="B52" s="3" t="s">
        <v>44</v>
      </c>
      <c r="C52" s="59"/>
      <c r="D52" s="60">
        <v>0.5</v>
      </c>
      <c r="E52" s="112"/>
    </row>
    <row r="53" spans="2:5" ht="14" x14ac:dyDescent="0.15">
      <c r="B53" s="1" t="s">
        <v>159</v>
      </c>
      <c r="C53" s="59"/>
      <c r="D53" s="60">
        <f>D50</f>
        <v>0.6</v>
      </c>
      <c r="E53" s="112"/>
    </row>
    <row r="54" spans="2:5" ht="14" x14ac:dyDescent="0.15">
      <c r="B54" s="3" t="s">
        <v>118</v>
      </c>
      <c r="C54" s="59"/>
      <c r="D54" s="60">
        <v>0.1</v>
      </c>
      <c r="E54" s="112"/>
    </row>
    <row r="55" spans="2:5" ht="14" x14ac:dyDescent="0.15">
      <c r="B55" s="3" t="s">
        <v>47</v>
      </c>
      <c r="C55" s="59"/>
      <c r="D55" s="60">
        <f>D52</f>
        <v>0.5</v>
      </c>
      <c r="E55" s="112"/>
    </row>
    <row r="56" spans="2:5" ht="14" x14ac:dyDescent="0.15">
      <c r="B56" s="1" t="s">
        <v>48</v>
      </c>
      <c r="C56" s="59"/>
      <c r="D56" s="60">
        <f>D50</f>
        <v>0.6</v>
      </c>
      <c r="E56" s="221" t="s">
        <v>71</v>
      </c>
    </row>
    <row r="57" spans="2:5" ht="14" x14ac:dyDescent="0.15">
      <c r="B57" s="3" t="s">
        <v>120</v>
      </c>
      <c r="C57" s="59"/>
      <c r="D57" s="60">
        <v>0.6</v>
      </c>
      <c r="E57" s="221" t="s">
        <v>46</v>
      </c>
    </row>
    <row r="58" spans="2:5" ht="14" x14ac:dyDescent="0.15">
      <c r="B58" s="3" t="s">
        <v>50</v>
      </c>
      <c r="C58" s="59"/>
      <c r="D58" s="60">
        <f>D48</f>
        <v>0.9</v>
      </c>
      <c r="E58" s="112"/>
    </row>
    <row r="59" spans="2:5" ht="14" x14ac:dyDescent="0.15">
      <c r="B59" s="35" t="s">
        <v>51</v>
      </c>
      <c r="C59" s="120"/>
      <c r="D59" s="195">
        <f>D70</f>
        <v>0.05</v>
      </c>
      <c r="E59" s="112"/>
    </row>
    <row r="60" spans="2:5" ht="14" x14ac:dyDescent="0.15">
      <c r="B60" s="3" t="s">
        <v>61</v>
      </c>
      <c r="C60" s="59"/>
      <c r="D60" s="60">
        <f>D49</f>
        <v>0.8</v>
      </c>
      <c r="E60" s="112"/>
    </row>
    <row r="61" spans="2:5" ht="14" x14ac:dyDescent="0.15">
      <c r="B61" s="3" t="s">
        <v>63</v>
      </c>
      <c r="C61" s="59"/>
      <c r="D61" s="60">
        <f>D51</f>
        <v>0.6</v>
      </c>
      <c r="E61" s="112"/>
    </row>
    <row r="62" spans="2:5" ht="14" x14ac:dyDescent="0.15">
      <c r="B62" s="3" t="s">
        <v>65</v>
      </c>
      <c r="C62" s="59"/>
      <c r="D62" s="60">
        <f>D52</f>
        <v>0.5</v>
      </c>
      <c r="E62" s="112"/>
    </row>
    <row r="63" spans="2:5" ht="14" x14ac:dyDescent="0.15">
      <c r="B63" s="1" t="s">
        <v>160</v>
      </c>
      <c r="C63" s="59"/>
      <c r="D63" s="60">
        <f>D62</f>
        <v>0.5</v>
      </c>
      <c r="E63" s="112"/>
    </row>
    <row r="64" spans="2:5" ht="14" x14ac:dyDescent="0.15">
      <c r="B64" s="3" t="s">
        <v>68</v>
      </c>
      <c r="C64" s="59"/>
      <c r="D64" s="60">
        <v>0.4</v>
      </c>
      <c r="E64" s="112"/>
    </row>
    <row r="65" spans="2:5" ht="14" x14ac:dyDescent="0.15">
      <c r="B65" s="3" t="s">
        <v>70</v>
      </c>
      <c r="C65" s="59"/>
      <c r="D65" s="60">
        <v>0.1</v>
      </c>
      <c r="E65" s="221" t="s">
        <v>71</v>
      </c>
    </row>
    <row r="66" spans="2:5" ht="14" x14ac:dyDescent="0.15">
      <c r="B66" s="3" t="s">
        <v>72</v>
      </c>
      <c r="C66" s="59"/>
      <c r="D66" s="60">
        <v>0.2</v>
      </c>
      <c r="E66" s="221" t="s">
        <v>71</v>
      </c>
    </row>
    <row r="67" spans="2:5" ht="14" x14ac:dyDescent="0.15">
      <c r="B67" s="1" t="s">
        <v>49</v>
      </c>
      <c r="C67" s="59"/>
      <c r="D67" s="60">
        <f>D65</f>
        <v>0.1</v>
      </c>
      <c r="E67" s="221" t="s">
        <v>46</v>
      </c>
    </row>
    <row r="68" spans="2:5" ht="14" x14ac:dyDescent="0.15">
      <c r="B68" s="3" t="s">
        <v>119</v>
      </c>
      <c r="C68" s="59"/>
      <c r="D68" s="60">
        <f>D65</f>
        <v>0.1</v>
      </c>
      <c r="E68" s="112"/>
    </row>
    <row r="69" spans="2:5" ht="14" x14ac:dyDescent="0.15">
      <c r="B69" s="3" t="s">
        <v>73</v>
      </c>
      <c r="C69" s="59"/>
      <c r="D69" s="60">
        <f>D70</f>
        <v>0.05</v>
      </c>
      <c r="E69" s="112"/>
    </row>
    <row r="70" spans="2:5" ht="14" x14ac:dyDescent="0.15">
      <c r="B70" s="3" t="s">
        <v>74</v>
      </c>
      <c r="C70" s="59"/>
      <c r="D70" s="60">
        <v>0.05</v>
      </c>
      <c r="E70" s="112"/>
    </row>
    <row r="71" spans="2:5" ht="14" x14ac:dyDescent="0.15">
      <c r="B71" s="3" t="s">
        <v>75</v>
      </c>
      <c r="C71" s="59"/>
      <c r="D71" s="60">
        <f>D58</f>
        <v>0.9</v>
      </c>
      <c r="E71" s="112"/>
    </row>
    <row r="72" spans="2:5" ht="15" thickBot="1" x14ac:dyDescent="0.2">
      <c r="B72" s="246" t="s">
        <v>76</v>
      </c>
      <c r="C72" s="247"/>
      <c r="D72" s="248">
        <v>0</v>
      </c>
      <c r="E72" s="249"/>
    </row>
    <row r="73" spans="2:5" ht="14" x14ac:dyDescent="0.15">
      <c r="B73" s="3" t="s">
        <v>39</v>
      </c>
      <c r="C73" s="59"/>
    </row>
    <row r="74" spans="2:5" ht="14" x14ac:dyDescent="0.15">
      <c r="B74" s="3" t="s">
        <v>40</v>
      </c>
      <c r="C74" s="59"/>
    </row>
    <row r="75" spans="2:5" ht="14" x14ac:dyDescent="0.15">
      <c r="B75" s="3" t="s">
        <v>41</v>
      </c>
      <c r="C75" s="59"/>
    </row>
    <row r="76" spans="2:5" ht="14" x14ac:dyDescent="0.15">
      <c r="B76" s="86" t="s">
        <v>43</v>
      </c>
      <c r="C76" s="120"/>
    </row>
    <row r="77" spans="2:5" ht="15" thickBot="1" x14ac:dyDescent="0.2">
      <c r="B77" s="80" t="s">
        <v>16</v>
      </c>
      <c r="C77" s="83"/>
    </row>
    <row r="78" spans="2:5" ht="15" thickTop="1" x14ac:dyDescent="0.15">
      <c r="B78" s="3" t="s">
        <v>62</v>
      </c>
      <c r="C78" s="59"/>
    </row>
    <row r="79" spans="2:5" ht="14" x14ac:dyDescent="0.15">
      <c r="B79" s="3" t="s">
        <v>64</v>
      </c>
      <c r="C79" s="59"/>
    </row>
    <row r="80" spans="2:5" ht="14" x14ac:dyDescent="0.15">
      <c r="B80" s="3" t="s">
        <v>66</v>
      </c>
      <c r="C80" s="59"/>
    </row>
    <row r="81" spans="2:8" ht="14" x14ac:dyDescent="0.15">
      <c r="B81" s="86" t="s">
        <v>67</v>
      </c>
      <c r="C81" s="120"/>
    </row>
    <row r="82" spans="2:8" ht="15" thickBot="1" x14ac:dyDescent="0.2">
      <c r="B82" s="80" t="s">
        <v>85</v>
      </c>
      <c r="C82" s="83"/>
    </row>
    <row r="83" spans="2:8" ht="15" thickTop="1" x14ac:dyDescent="0.15">
      <c r="B83" s="73" t="s">
        <v>221</v>
      </c>
      <c r="C83" s="59"/>
    </row>
    <row r="84" spans="2:8" ht="14" x14ac:dyDescent="0.15">
      <c r="B84" s="20" t="s">
        <v>91</v>
      </c>
      <c r="C84" s="59"/>
    </row>
    <row r="85" spans="2:8" ht="14" x14ac:dyDescent="0.15">
      <c r="B85" s="20" t="s">
        <v>93</v>
      </c>
      <c r="C85" s="59"/>
    </row>
    <row r="86" spans="2:8" ht="14" x14ac:dyDescent="0.15">
      <c r="B86" s="10" t="s">
        <v>251</v>
      </c>
      <c r="C86" s="197">
        <v>5</v>
      </c>
    </row>
    <row r="87" spans="2:8" ht="14" x14ac:dyDescent="0.15">
      <c r="B87" s="10" t="s">
        <v>249</v>
      </c>
      <c r="C87" s="236" t="s">
        <v>266</v>
      </c>
      <c r="D87" s="269">
        <v>0.02</v>
      </c>
    </row>
    <row r="89" spans="2:8" ht="14" x14ac:dyDescent="0.15">
      <c r="B89" s="106" t="s">
        <v>128</v>
      </c>
      <c r="C89" s="271">
        <f>C24</f>
        <v>45291</v>
      </c>
      <c r="D89" s="271"/>
      <c r="E89" s="89" t="s">
        <v>207</v>
      </c>
      <c r="F89" s="89" t="s">
        <v>206</v>
      </c>
      <c r="H89" s="31"/>
    </row>
    <row r="90" spans="2:8" ht="14" x14ac:dyDescent="0.15">
      <c r="B90" s="12" t="str">
        <f>"(Numbers in "&amp;Data!C4&amp;Dashboard!G6&amp;")"</f>
        <v>(Numbers in 1000HKD)</v>
      </c>
      <c r="C90" s="272" t="s">
        <v>101</v>
      </c>
      <c r="D90" s="272"/>
      <c r="E90" s="235" t="s">
        <v>102</v>
      </c>
      <c r="F90" s="255" t="s">
        <v>102</v>
      </c>
    </row>
    <row r="91" spans="2:8" ht="14" x14ac:dyDescent="0.15">
      <c r="B91" s="3" t="s">
        <v>127</v>
      </c>
      <c r="C91" s="77">
        <f>C25</f>
        <v>1487090</v>
      </c>
      <c r="D91" s="209"/>
      <c r="E91" s="251">
        <f>C91</f>
        <v>1487090</v>
      </c>
      <c r="F91" s="251">
        <f>C91</f>
        <v>1487090</v>
      </c>
    </row>
    <row r="92" spans="2:8" ht="14" x14ac:dyDescent="0.15">
      <c r="B92" s="104" t="s">
        <v>106</v>
      </c>
      <c r="C92" s="77">
        <f>C26</f>
        <v>692542</v>
      </c>
      <c r="D92" s="159">
        <f>C92/C91</f>
        <v>0.46570281556597115</v>
      </c>
      <c r="E92" s="252">
        <f>E91*D92</f>
        <v>692542</v>
      </c>
      <c r="F92" s="252">
        <f>F91*D92</f>
        <v>692542</v>
      </c>
    </row>
    <row r="93" spans="2:8" ht="14" x14ac:dyDescent="0.15">
      <c r="B93" s="104" t="s">
        <v>248</v>
      </c>
      <c r="C93" s="77">
        <f>C27+C28</f>
        <v>730104</v>
      </c>
      <c r="D93" s="159">
        <f>C93/C91</f>
        <v>0.49096154234108225</v>
      </c>
      <c r="E93" s="252">
        <f>E91*D93</f>
        <v>730104</v>
      </c>
      <c r="F93" s="252">
        <f>F91*D93</f>
        <v>730104</v>
      </c>
    </row>
    <row r="94" spans="2:8" ht="14" x14ac:dyDescent="0.15">
      <c r="B94" s="104" t="s">
        <v>257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4" x14ac:dyDescent="0.15">
      <c r="B95" s="28" t="s">
        <v>247</v>
      </c>
      <c r="C95" s="77">
        <f>ABS(MAX(C33,0)-C32)</f>
        <v>171912</v>
      </c>
      <c r="D95" s="159">
        <f>C95/C91</f>
        <v>0.11560295610891069</v>
      </c>
      <c r="E95" s="252">
        <f>E91*D95</f>
        <v>171912</v>
      </c>
      <c r="F95" s="252">
        <f>F91*D95</f>
        <v>171912</v>
      </c>
    </row>
    <row r="96" spans="2:8" ht="14" x14ac:dyDescent="0.15">
      <c r="B96" s="28" t="s">
        <v>110</v>
      </c>
      <c r="C96" s="77">
        <f>MAX(C31,0)</f>
        <v>58778</v>
      </c>
      <c r="D96" s="159">
        <f>C96/C91</f>
        <v>3.9525516276755275E-2</v>
      </c>
      <c r="E96" s="253"/>
      <c r="F96" s="252">
        <f>F91*D96</f>
        <v>58778</v>
      </c>
    </row>
    <row r="97" spans="2:7" ht="14" x14ac:dyDescent="0.15">
      <c r="B97" s="73" t="s">
        <v>173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4" x14ac:dyDescent="0.15">
      <c r="B98" s="86" t="s">
        <v>208</v>
      </c>
      <c r="C98" s="237">
        <f>C44</f>
        <v>0.06</v>
      </c>
      <c r="D98" s="266"/>
      <c r="E98" s="254">
        <f>F98</f>
        <v>0.06</v>
      </c>
      <c r="F98" s="254">
        <f>C98</f>
        <v>0.06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3" sqref="C3:D3"/>
    </sheetView>
  </sheetViews>
  <sheetFormatPr baseColWidth="10" defaultColWidth="12.33203125" defaultRowHeight="15" customHeight="1" x14ac:dyDescent="0.15"/>
  <cols>
    <col min="1" max="1" width="2.33203125" style="1" customWidth="1"/>
    <col min="2" max="2" width="30.6640625" style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7"/>
      <c r="C1" s="87"/>
      <c r="D1" s="87"/>
      <c r="E1" s="87"/>
      <c r="F1" s="87"/>
      <c r="G1" s="87"/>
      <c r="H1" s="87"/>
    </row>
    <row r="2" spans="1:10" ht="15.75" customHeight="1" x14ac:dyDescent="0.2">
      <c r="A2" s="5"/>
      <c r="B2" s="6" t="s">
        <v>0</v>
      </c>
      <c r="C2" s="25" t="str">
        <f>C3&amp;" : "&amp;C4</f>
        <v>0831.HK : 利亞零售</v>
      </c>
      <c r="D2" s="87"/>
      <c r="E2" s="7"/>
      <c r="F2" s="7"/>
      <c r="G2" s="86"/>
      <c r="H2" s="86"/>
    </row>
    <row r="3" spans="1:10" ht="15.75" customHeight="1" x14ac:dyDescent="0.15">
      <c r="B3" s="3" t="s">
        <v>195</v>
      </c>
      <c r="C3" s="277" t="str">
        <f>Inputs!C4</f>
        <v>0831.HK</v>
      </c>
      <c r="D3" s="278"/>
      <c r="E3" s="87"/>
      <c r="F3" s="3" t="s">
        <v>1</v>
      </c>
      <c r="G3" s="132">
        <v>0.435</v>
      </c>
      <c r="H3" s="134" t="s">
        <v>267</v>
      </c>
    </row>
    <row r="4" spans="1:10" ht="15.75" customHeight="1" x14ac:dyDescent="0.15">
      <c r="B4" s="35" t="s">
        <v>196</v>
      </c>
      <c r="C4" s="279" t="str">
        <f>Inputs!C5</f>
        <v>利亞零售</v>
      </c>
      <c r="D4" s="280"/>
      <c r="E4" s="87"/>
      <c r="F4" s="3" t="s">
        <v>3</v>
      </c>
      <c r="G4" s="283">
        <f>Inputs!C10</f>
        <v>777416974</v>
      </c>
      <c r="H4" s="283"/>
      <c r="I4" s="39"/>
    </row>
    <row r="5" spans="1:10" ht="15.75" customHeight="1" x14ac:dyDescent="0.15">
      <c r="B5" s="3" t="s">
        <v>164</v>
      </c>
      <c r="C5" s="281">
        <f>Inputs!C6</f>
        <v>45624</v>
      </c>
      <c r="D5" s="282"/>
      <c r="E5" s="34"/>
      <c r="F5" s="35" t="s">
        <v>100</v>
      </c>
      <c r="G5" s="275">
        <f>G3*G4/1000000</f>
        <v>338.17638369000002</v>
      </c>
      <c r="H5" s="275"/>
      <c r="I5" s="38"/>
      <c r="J5" s="28"/>
    </row>
    <row r="6" spans="1:10" ht="15.75" customHeight="1" x14ac:dyDescent="0.15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6" t="str">
        <f>Inputs!C11</f>
        <v>HKD</v>
      </c>
      <c r="H6" s="276"/>
      <c r="I6" s="38"/>
    </row>
    <row r="7" spans="1:10" ht="15.75" customHeight="1" x14ac:dyDescent="0.15">
      <c r="B7" s="86" t="s">
        <v>193</v>
      </c>
      <c r="C7" s="187" t="str">
        <f>Inputs!C8</f>
        <v>N</v>
      </c>
      <c r="D7" s="187" t="str">
        <f>Inputs!C9</f>
        <v>C0007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15"/>
    <row r="9" spans="1:10" ht="15.75" customHeight="1" x14ac:dyDescent="0.15">
      <c r="B9" s="139" t="s">
        <v>191</v>
      </c>
      <c r="F9" s="143" t="s">
        <v>186</v>
      </c>
    </row>
    <row r="10" spans="1:10" ht="15.75" customHeight="1" x14ac:dyDescent="0.15">
      <c r="B10" s="1" t="s">
        <v>176</v>
      </c>
      <c r="C10" s="172">
        <v>4.2099999999999999E-2</v>
      </c>
      <c r="F10" s="110" t="s">
        <v>183</v>
      </c>
    </row>
    <row r="11" spans="1:10" ht="15.75" customHeight="1" thickBot="1" x14ac:dyDescent="0.2">
      <c r="B11" s="122" t="s">
        <v>180</v>
      </c>
      <c r="C11" s="173">
        <v>5.3099999999999994E-2</v>
      </c>
      <c r="D11" s="137" t="s">
        <v>190</v>
      </c>
      <c r="F11" s="110" t="s">
        <v>178</v>
      </c>
    </row>
    <row r="12" spans="1:10" ht="15.75" customHeight="1" thickTop="1" x14ac:dyDescent="0.15">
      <c r="B12" s="87" t="s">
        <v>254</v>
      </c>
      <c r="C12" s="174">
        <v>0.08</v>
      </c>
      <c r="D12" s="172">
        <v>8.5999999999999993E-2</v>
      </c>
      <c r="F12" s="110"/>
    </row>
    <row r="13" spans="1:10" ht="15.75" customHeight="1" x14ac:dyDescent="0.15"/>
    <row r="14" spans="1:10" ht="15.75" customHeight="1" x14ac:dyDescent="0.15">
      <c r="B14" s="1" t="s">
        <v>177</v>
      </c>
      <c r="C14" s="172">
        <v>2.1309999999999999E-2</v>
      </c>
      <c r="F14" s="110" t="s">
        <v>182</v>
      </c>
    </row>
    <row r="15" spans="1:10" ht="15.75" customHeight="1" x14ac:dyDescent="0.15">
      <c r="B15" s="1" t="s">
        <v>187</v>
      </c>
      <c r="C15" s="172">
        <v>6.5000000000000002E-2</v>
      </c>
      <c r="F15" s="110" t="s">
        <v>181</v>
      </c>
    </row>
    <row r="16" spans="1:10" ht="15.75" customHeight="1" thickBot="1" x14ac:dyDescent="0.2">
      <c r="B16" s="122" t="s">
        <v>188</v>
      </c>
      <c r="C16" s="173">
        <v>0.16</v>
      </c>
      <c r="D16" s="265" t="str">
        <f>Inputs!C15</f>
        <v>HK</v>
      </c>
      <c r="F16" s="110" t="s">
        <v>179</v>
      </c>
    </row>
    <row r="17" spans="1:8" ht="15.75" customHeight="1" thickTop="1" x14ac:dyDescent="0.15">
      <c r="B17" s="87" t="s">
        <v>255</v>
      </c>
      <c r="C17" s="175">
        <v>9.1999999999999998E-2</v>
      </c>
      <c r="D17" s="176"/>
    </row>
    <row r="18" spans="1:8" ht="15.75" customHeight="1" x14ac:dyDescent="0.15"/>
    <row r="19" spans="1:8" ht="15.75" customHeight="1" x14ac:dyDescent="0.15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15">
      <c r="B20" s="137" t="s">
        <v>170</v>
      </c>
      <c r="C20" s="171">
        <f>Fin_Analysis!I75</f>
        <v>0.46570281556597115</v>
      </c>
      <c r="F20" s="87" t="s">
        <v>212</v>
      </c>
      <c r="G20" s="172">
        <v>0.15</v>
      </c>
    </row>
    <row r="21" spans="1:8" ht="15.75" customHeight="1" x14ac:dyDescent="0.15">
      <c r="B21" s="137" t="s">
        <v>245</v>
      </c>
      <c r="C21" s="171">
        <f>Fin_Analysis!I77</f>
        <v>0.49096154234108225</v>
      </c>
      <c r="F21" s="87"/>
      <c r="G21" s="29"/>
    </row>
    <row r="22" spans="1:8" ht="15.75" customHeight="1" x14ac:dyDescent="0.15">
      <c r="B22" s="137" t="s">
        <v>192</v>
      </c>
      <c r="C22" s="171">
        <f>Fin_Analysis!I78</f>
        <v>0</v>
      </c>
      <c r="F22" s="142" t="s">
        <v>185</v>
      </c>
    </row>
    <row r="23" spans="1:8" ht="15.75" customHeight="1" x14ac:dyDescent="0.15">
      <c r="B23" s="137" t="s">
        <v>172</v>
      </c>
      <c r="C23" s="171">
        <f>Fin_Analysis!I80</f>
        <v>3.9525516276755275E-2</v>
      </c>
      <c r="F23" s="140" t="s">
        <v>189</v>
      </c>
      <c r="G23" s="177" t="e">
        <f>G3/(Data!C36*Data!C4/Common_Shares*Exchange_Rate)</f>
        <v>#DIV/0!</v>
      </c>
    </row>
    <row r="24" spans="1:8" ht="15.75" customHeight="1" x14ac:dyDescent="0.15">
      <c r="B24" s="137" t="s">
        <v>171</v>
      </c>
      <c r="C24" s="171">
        <f>Fin_Analysis!I81</f>
        <v>0</v>
      </c>
      <c r="F24" s="140" t="s">
        <v>259</v>
      </c>
      <c r="G24" s="268">
        <f>G3/(Fin_Analysis!H86*G7)</f>
        <v>-2.4361588075127969</v>
      </c>
    </row>
    <row r="25" spans="1:8" ht="15.75" customHeight="1" x14ac:dyDescent="0.15">
      <c r="B25" s="137" t="s">
        <v>244</v>
      </c>
      <c r="C25" s="171">
        <f>Fin_Analysis!I82</f>
        <v>0.11560295610891069</v>
      </c>
      <c r="F25" s="140" t="s">
        <v>175</v>
      </c>
      <c r="G25" s="171">
        <f>Fin_Analysis!I88</f>
        <v>-0.33602190448452368</v>
      </c>
    </row>
    <row r="26" spans="1:8" ht="15.75" customHeight="1" x14ac:dyDescent="0.15">
      <c r="B26" s="138" t="s">
        <v>174</v>
      </c>
      <c r="C26" s="171">
        <f>Fin_Analysis!I83</f>
        <v>-0.11179283029271934</v>
      </c>
      <c r="F26" s="141" t="s">
        <v>194</v>
      </c>
      <c r="G26" s="178">
        <f>Fin_Analysis!H88*Exchange_Rate/G3</f>
        <v>0.13793103448275862</v>
      </c>
    </row>
    <row r="27" spans="1:8" ht="15.75" customHeight="1" x14ac:dyDescent="0.15"/>
    <row r="28" spans="1:8" ht="15.75" customHeight="1" x14ac:dyDescent="0.15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3" t="s">
        <v>258</v>
      </c>
      <c r="H28" s="273"/>
    </row>
    <row r="29" spans="1:8" ht="15.75" customHeight="1" x14ac:dyDescent="0.15">
      <c r="B29" s="87" t="s">
        <v>169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74">
        <f>IF(Fin_Analysis!C108="Profit",Fin_Analysis!I100,IF(Fin_Analysis!C108="Dividend",Fin_Analysis!I103,Fin_Analysis!I106))</f>
        <v>0</v>
      </c>
      <c r="H29" s="274"/>
    </row>
    <row r="30" spans="1:8" ht="15.75" customHeight="1" x14ac:dyDescent="0.15"/>
    <row r="31" spans="1:8" ht="15.75" customHeight="1" x14ac:dyDescent="0.2">
      <c r="A31" s="5"/>
      <c r="B31" s="6" t="s">
        <v>223</v>
      </c>
      <c r="C31"/>
    </row>
    <row r="32" spans="1:8" ht="15.75" customHeight="1" x14ac:dyDescent="0.15">
      <c r="A32"/>
      <c r="B32" s="196" t="s">
        <v>224</v>
      </c>
      <c r="C32" s="224"/>
    </row>
    <row r="33" spans="1:3" ht="15.75" customHeight="1" x14ac:dyDescent="0.15">
      <c r="A33"/>
      <c r="B33" s="20" t="s">
        <v>225</v>
      </c>
      <c r="C33" s="245" t="str">
        <f>Inputs!C17</f>
        <v>disagree</v>
      </c>
    </row>
    <row r="34" spans="1:3" ht="15.75" customHeight="1" x14ac:dyDescent="0.15">
      <c r="A34"/>
      <c r="B34" s="19" t="s">
        <v>226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15">
      <c r="A35"/>
      <c r="B35" s="196" t="s">
        <v>227</v>
      </c>
      <c r="C35" s="224"/>
    </row>
    <row r="36" spans="1:3" ht="15.75" customHeight="1" x14ac:dyDescent="0.15">
      <c r="A36"/>
      <c r="B36" s="20" t="s">
        <v>239</v>
      </c>
      <c r="C36" s="245" t="str">
        <f>Inputs!C18</f>
        <v>unclear</v>
      </c>
    </row>
    <row r="37" spans="1:3" ht="15.75" customHeight="1" x14ac:dyDescent="0.15">
      <c r="A37"/>
      <c r="B37" s="20" t="s">
        <v>240</v>
      </c>
      <c r="C37" s="245" t="str">
        <f>Inputs!C19</f>
        <v>unclear</v>
      </c>
    </row>
    <row r="38" spans="1:3" ht="15.75" customHeight="1" x14ac:dyDescent="0.15">
      <c r="A38"/>
      <c r="B38" s="196" t="s">
        <v>228</v>
      </c>
      <c r="C38" s="224"/>
    </row>
    <row r="39" spans="1:3" ht="15.75" customHeight="1" x14ac:dyDescent="0.15">
      <c r="A39"/>
      <c r="B39" s="19" t="s">
        <v>229</v>
      </c>
      <c r="C39" s="245" t="str">
        <f>Inputs!C20</f>
        <v>unclear</v>
      </c>
    </row>
    <row r="40" spans="1:3" ht="15.75" customHeight="1" x14ac:dyDescent="0.15">
      <c r="A40"/>
      <c r="B40" s="1" t="s">
        <v>232</v>
      </c>
      <c r="C40" s="245" t="str">
        <f>Inputs!C21</f>
        <v>disagree</v>
      </c>
    </row>
    <row r="41" spans="1:3" ht="15.75" customHeight="1" x14ac:dyDescent="0.15">
      <c r="A41"/>
      <c r="B41"/>
      <c r="C41"/>
    </row>
    <row r="42" spans="1:3" ht="15.75" customHeight="1" x14ac:dyDescent="0.2">
      <c r="A42" s="5"/>
      <c r="B42" s="6" t="s">
        <v>230</v>
      </c>
      <c r="C42"/>
    </row>
    <row r="43" spans="1:3" ht="70" x14ac:dyDescent="0.15">
      <c r="A43"/>
      <c r="B43" s="226" t="s">
        <v>231</v>
      </c>
      <c r="C43" s="244" t="str">
        <f>Inputs!C22</f>
        <v>Commodity-type Business</v>
      </c>
    </row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20" zoomScaleNormal="100" workbookViewId="0">
      <pane xSplit="2" topLeftCell="C1" activePane="topRight" state="frozen"/>
      <selection activeCell="A4" sqref="A4"/>
      <selection pane="topRight" activeCell="C48" sqref="C48:D48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48" t="s">
        <v>200</v>
      </c>
      <c r="F2" s="119" t="s">
        <v>203</v>
      </c>
      <c r="G2" s="148" t="s">
        <v>204</v>
      </c>
      <c r="H2" s="147" t="s">
        <v>205</v>
      </c>
      <c r="I2" s="7"/>
      <c r="J2" s="87"/>
      <c r="K2" s="7"/>
      <c r="L2" s="7"/>
      <c r="M2" s="7"/>
    </row>
    <row r="3" spans="1:14" ht="15.75" customHeight="1" x14ac:dyDescent="0.15">
      <c r="A3" s="4"/>
      <c r="B3" s="103" t="s">
        <v>10</v>
      </c>
      <c r="C3" s="201">
        <f>Inputs!C12</f>
        <v>45291</v>
      </c>
      <c r="E3" s="146" t="s">
        <v>201</v>
      </c>
      <c r="F3" s="85" t="str">
        <f>H14</f>
        <v/>
      </c>
      <c r="G3" s="85">
        <f>C14</f>
        <v>64444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15">
      <c r="A4" s="4"/>
      <c r="B4" s="103" t="s">
        <v>11</v>
      </c>
      <c r="C4" s="128">
        <f>Inputs!C13</f>
        <v>1000</v>
      </c>
      <c r="D4" s="1" t="str">
        <f>Dashboard!G6</f>
        <v>HKD</v>
      </c>
      <c r="E4" s="146" t="s">
        <v>202</v>
      </c>
      <c r="F4" s="93" t="e">
        <f>(G3/F3)^(1/H3)-1</f>
        <v>#VALUE!</v>
      </c>
      <c r="J4" s="87"/>
    </row>
    <row r="5" spans="1:14" ht="15.75" customHeight="1" x14ac:dyDescent="0.15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94" t="s">
        <v>12</v>
      </c>
      <c r="C6" s="200">
        <f>IF(Inputs!C25=""," ",Inputs!C25)</f>
        <v>1487090</v>
      </c>
      <c r="D6" s="200">
        <f>IF(Inputs!D25="","",Inputs!D25)</f>
        <v>1462864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15">
      <c r="A7" s="4"/>
      <c r="B7" s="96" t="s">
        <v>13</v>
      </c>
      <c r="C7" s="92">
        <f t="shared" ref="C7:M7" si="1">IF(D6="","",C6/D6-1)</f>
        <v>1.6560664559384985E-2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15">
      <c r="A8" s="4"/>
      <c r="B8" s="97" t="s">
        <v>106</v>
      </c>
      <c r="C8" s="199">
        <f>IF(Inputs!C26="","",Inputs!C26)</f>
        <v>692542</v>
      </c>
      <c r="D8" s="199">
        <f>IF(Inputs!D26="","",Inputs!D26)</f>
        <v>723325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15">
      <c r="A9" s="4"/>
      <c r="B9" s="98" t="s">
        <v>103</v>
      </c>
      <c r="C9" s="151">
        <f t="shared" ref="C9:M9" si="2">IF(C6="","",(C6-C8))</f>
        <v>794548</v>
      </c>
      <c r="D9" s="151">
        <f t="shared" si="2"/>
        <v>739539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15">
      <c r="A10" s="4"/>
      <c r="B10" s="97" t="s">
        <v>104</v>
      </c>
      <c r="C10" s="199">
        <f>IF(Inputs!C27="","",Inputs!C27)</f>
        <v>730104</v>
      </c>
      <c r="D10" s="199">
        <f>IF(Inputs!D27="","",Inputs!D27)</f>
        <v>665658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15">
      <c r="A11" s="4"/>
      <c r="B11" s="97" t="s">
        <v>107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15">
      <c r="A12" s="4"/>
      <c r="B12" s="99" t="s">
        <v>241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15">
      <c r="A13" s="4"/>
      <c r="B13" s="228" t="s">
        <v>242</v>
      </c>
      <c r="C13" s="229">
        <f t="shared" ref="C13:M13" si="3">IF(C14="","",C14/C6)</f>
        <v>4.333564209294663E-2</v>
      </c>
      <c r="D13" s="229">
        <f t="shared" si="3"/>
        <v>5.0504353104594821E-2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15">
      <c r="A14" s="4"/>
      <c r="B14" s="228" t="s">
        <v>234</v>
      </c>
      <c r="C14" s="230">
        <f>IF(C6="","",C9-C10-MAX(C11,0)-MAX(C12,0))</f>
        <v>64444</v>
      </c>
      <c r="D14" s="230">
        <f t="shared" ref="D14:M14" si="4">IF(D6="","",D9-D10-MAX(D11,0)-MAX(D12,0))</f>
        <v>73881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15">
      <c r="A15" s="4"/>
      <c r="B15" s="231" t="s">
        <v>243</v>
      </c>
      <c r="C15" s="232">
        <f>IF(D14="","",IF(ABS(C14+D14)=ABS(C14)+ABS(D14),IF(C14&lt;0,-1,1)*(C14-D14)/D14,"Turn"))</f>
        <v>-0.12773243459076081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15">
      <c r="A16" s="4"/>
      <c r="B16" s="97" t="s">
        <v>110</v>
      </c>
      <c r="C16" s="199">
        <f>IF(Inputs!C31="","",Inputs!C31)</f>
        <v>58778</v>
      </c>
      <c r="D16" s="199">
        <f>IF(Inputs!D31="","",Inputs!D31)</f>
        <v>38349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15">
      <c r="A17" s="4"/>
      <c r="B17" s="97" t="s">
        <v>257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15">
      <c r="A18" s="4"/>
      <c r="B18" s="94" t="s">
        <v>99</v>
      </c>
      <c r="C18" s="152">
        <f t="shared" ref="C18:M18" si="6">IF(OR(C6="",C19=""),"",C19/C6)</f>
        <v>0.14117437411320094</v>
      </c>
      <c r="D18" s="152">
        <f t="shared" si="6"/>
        <v>0.13017888197399075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15">
      <c r="A19" s="4"/>
      <c r="B19" s="97" t="s">
        <v>105</v>
      </c>
      <c r="C19" s="199">
        <f>IF(Inputs!C32="","",Inputs!C32)</f>
        <v>209939</v>
      </c>
      <c r="D19" s="199">
        <f>IF(Inputs!D32="","",Inputs!D32)</f>
        <v>190434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15">
      <c r="A20" s="4"/>
      <c r="B20" s="97" t="s">
        <v>236</v>
      </c>
      <c r="C20" s="152">
        <f t="shared" ref="C20:M20" si="7">IF(C6="","",MAX(C21,0)/C6)</f>
        <v>2.5571418004290258E-2</v>
      </c>
      <c r="D20" s="152">
        <f t="shared" si="7"/>
        <v>4.1429688610834639E-2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15">
      <c r="A21" s="4"/>
      <c r="B21" s="97" t="s">
        <v>108</v>
      </c>
      <c r="C21" s="199">
        <f>IF(Inputs!C33="","",Inputs!C33)</f>
        <v>38027</v>
      </c>
      <c r="D21" s="199">
        <f>IF(Inputs!D33="","",Inputs!D33)</f>
        <v>60606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15">
      <c r="A22" s="4"/>
      <c r="B22" s="98" t="s">
        <v>112</v>
      </c>
      <c r="C22" s="161">
        <f>IF(C6="","",C14-MAX(C16,0)-MAX(C17,0)-ABS(MAX(C21,0)-MAX(C19,0)))</f>
        <v>-166246</v>
      </c>
      <c r="D22" s="161">
        <f t="shared" ref="D22:M22" si="8">IF(D6="","",D14-MAX(D16,0)-MAX(D17,0)-ABS(MAX(D21,0)-MAX(D19,0)))</f>
        <v>-94296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15">
      <c r="A23" s="4"/>
      <c r="B23" s="100" t="s">
        <v>113</v>
      </c>
      <c r="C23" s="153">
        <f t="shared" ref="C23:M23" si="9">IF(C6="","",C24/C6)</f>
        <v>-9.3347013294420647E-2</v>
      </c>
      <c r="D23" s="153">
        <f t="shared" si="9"/>
        <v>-5.3823978168852336E-2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15">
      <c r="A24" s="4"/>
      <c r="B24" s="101" t="s">
        <v>114</v>
      </c>
      <c r="C24" s="154">
        <f>IF(C6="","",C22*(1-Fin_Analysis!$I$84))</f>
        <v>-138815.41</v>
      </c>
      <c r="D24" s="77">
        <f>IF(D6="","",D22*(1-Fin_Analysis!$I$84))</f>
        <v>-78737.16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2">
      <c r="A25" s="4"/>
      <c r="B25" s="234" t="s">
        <v>129</v>
      </c>
      <c r="C25" s="233">
        <f>IF(D24="","",IF(ABS(C24+D24)=ABS(C24)+ABS(D24),IF(C24&lt;0,-1,1)*(C24-D24)/D24,"Turn"))</f>
        <v>-0.76302282175277847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15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15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15">
      <c r="A28" s="4"/>
      <c r="B28" s="94" t="s">
        <v>15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15">
      <c r="A29" s="4"/>
      <c r="B29" s="94" t="s">
        <v>117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15">
      <c r="A30" s="4"/>
      <c r="B30" s="94" t="s">
        <v>149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15">
      <c r="A31" s="4"/>
      <c r="B31" s="94" t="s">
        <v>16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15">
      <c r="A32" s="4"/>
      <c r="B32" s="94" t="s">
        <v>116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15">
      <c r="A33" s="4"/>
      <c r="B33" s="94" t="s">
        <v>17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15">
      <c r="A34" s="4"/>
      <c r="B34" s="94" t="s">
        <v>18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15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15">
      <c r="A36" s="4"/>
      <c r="B36" s="94" t="s">
        <v>138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15">
      <c r="A37" s="4"/>
      <c r="B37" s="94" t="s">
        <v>139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15">
      <c r="A38" s="4"/>
      <c r="B38" s="94" t="s">
        <v>137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15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15">
      <c r="A40" s="4"/>
      <c r="B40" s="98" t="s">
        <v>158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15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15">
      <c r="A42" s="4"/>
      <c r="B42" s="95" t="s">
        <v>98</v>
      </c>
      <c r="C42" s="156">
        <f t="shared" ref="C42:M42" si="34">IF(C6="","",C8/C6)</f>
        <v>0.46570281556597115</v>
      </c>
      <c r="D42" s="156">
        <f t="shared" si="34"/>
        <v>0.49445813144625883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15">
      <c r="A43" s="4"/>
      <c r="B43" s="94" t="s">
        <v>235</v>
      </c>
      <c r="C43" s="153">
        <f t="shared" ref="C43:M43" si="35">IF(C6="","",(C10+MAX(C11,0))/C6)</f>
        <v>0.49096154234108225</v>
      </c>
      <c r="D43" s="153">
        <f t="shared" si="35"/>
        <v>0.45503751544914633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15">
      <c r="A44" s="4"/>
      <c r="B44" s="94" t="s">
        <v>109</v>
      </c>
      <c r="C44" s="153">
        <f t="shared" ref="C44:M44" si="36">IF(C6="","",MAX(C16,0)/C6)</f>
        <v>3.9525516276755275E-2</v>
      </c>
      <c r="D44" s="153">
        <f t="shared" si="36"/>
        <v>2.6215013835872644E-2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15">
      <c r="A45" s="4"/>
      <c r="B45" s="94" t="s">
        <v>122</v>
      </c>
      <c r="C45" s="153">
        <f t="shared" ref="C45:M45" si="37">IF(C6="","",MAX(C17,0)/C6)</f>
        <v>0</v>
      </c>
      <c r="D45" s="153">
        <f t="shared" si="37"/>
        <v>0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15">
      <c r="A46" s="4"/>
      <c r="B46" s="94" t="s">
        <v>130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15">
      <c r="A47" s="4"/>
      <c r="B47" s="94" t="s">
        <v>237</v>
      </c>
      <c r="C47" s="153">
        <f>IF(C6="","",ABS(MAX(C21,0)-MAX(C19,0))/C6)</f>
        <v>0.11560295610891069</v>
      </c>
      <c r="D47" s="153">
        <f t="shared" ref="D47:M47" si="39">IF(D6="","",ABS(MAX(D21,0)-MAX(D19,0))/D6)</f>
        <v>8.8749193363156106E-2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15">
      <c r="A48" s="4"/>
      <c r="B48" s="94" t="s">
        <v>124</v>
      </c>
      <c r="C48" s="153">
        <f t="shared" ref="C48:M48" si="40">IF(C6="","",C22/C6)</f>
        <v>-0.11179283029271934</v>
      </c>
      <c r="D48" s="153">
        <f t="shared" si="40"/>
        <v>-6.445985409443393E-2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15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15">
      <c r="A50" s="4"/>
      <c r="B50" s="95" t="s">
        <v>147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15">
      <c r="A51" s="4"/>
      <c r="B51" s="94" t="s">
        <v>148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15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15">
      <c r="A53" s="4"/>
      <c r="B53" s="95" t="s">
        <v>20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15">
      <c r="A54" s="4"/>
      <c r="B54" s="94" t="s">
        <v>121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15">
      <c r="A55" s="4"/>
      <c r="B55" s="94" t="s">
        <v>123</v>
      </c>
      <c r="C55" s="153" t="str">
        <f t="shared" ref="C55:M55" si="45">IF(C22="","",IF(MAX(C17,0)&lt;=0,"-",C17/C22))</f>
        <v>-</v>
      </c>
      <c r="D55" s="153" t="str">
        <f t="shared" si="45"/>
        <v>-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15">
      <c r="A56" s="4"/>
      <c r="B56" s="98" t="s">
        <v>21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15"/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F98" sqref="F98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15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4">
        <f>Inputs!C83</f>
        <v>0</v>
      </c>
      <c r="K3" s="24"/>
    </row>
    <row r="4" spans="1:11" ht="15" customHeight="1" x14ac:dyDescent="0.15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15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2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15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15">
      <c r="C8" s="87"/>
      <c r="D8" s="87"/>
      <c r="E8" s="87"/>
      <c r="K8" s="24"/>
    </row>
    <row r="9" spans="1:11" ht="15" customHeight="1" x14ac:dyDescent="0.2">
      <c r="A9" s="2"/>
      <c r="B9" s="46" t="s">
        <v>32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15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15">
      <c r="B11" s="3" t="s">
        <v>38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4" x14ac:dyDescent="0.15">
      <c r="B12" s="1" t="s">
        <v>136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4" x14ac:dyDescent="0.15">
      <c r="B13" s="3" t="s">
        <v>117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4" x14ac:dyDescent="0.15">
      <c r="B14" s="3" t="s">
        <v>42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43</v>
      </c>
      <c r="I14" s="205">
        <f>Inputs!C76</f>
        <v>0</v>
      </c>
      <c r="J14" s="87"/>
      <c r="K14" s="27"/>
    </row>
    <row r="15" spans="1:11" ht="14" x14ac:dyDescent="0.15">
      <c r="B15" s="3" t="s">
        <v>44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4" x14ac:dyDescent="0.15">
      <c r="B16" s="1" t="s">
        <v>159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4" x14ac:dyDescent="0.15">
      <c r="B17" s="3" t="s">
        <v>118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4" x14ac:dyDescent="0.15">
      <c r="B18" s="3" t="s">
        <v>47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4" x14ac:dyDescent="0.15">
      <c r="B19" s="1" t="s">
        <v>48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4" x14ac:dyDescent="0.15">
      <c r="B20" s="3" t="s">
        <v>120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15">
      <c r="B22" s="3" t="s">
        <v>51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15">
      <c r="C23" s="87"/>
      <c r="D23" s="87"/>
      <c r="E23" s="87"/>
      <c r="F23" s="111" t="s">
        <v>52</v>
      </c>
      <c r="G23" s="87"/>
    </row>
    <row r="24" spans="2:10" ht="15" customHeight="1" x14ac:dyDescent="0.15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15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15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15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15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15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15">
      <c r="B30" s="3" t="s">
        <v>61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15">
      <c r="B31" s="3" t="s">
        <v>63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15">
      <c r="B32" s="3" t="s">
        <v>65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4" x14ac:dyDescent="0.15">
      <c r="B33" s="1" t="s">
        <v>160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5">
        <f>Inputs!C81</f>
        <v>0</v>
      </c>
      <c r="J33" s="87"/>
    </row>
    <row r="34" spans="2:10" ht="14" x14ac:dyDescent="0.15">
      <c r="B34" s="3" t="s">
        <v>68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4" x14ac:dyDescent="0.15">
      <c r="B35" s="3" t="s">
        <v>70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4" x14ac:dyDescent="0.15">
      <c r="B36" s="3" t="s">
        <v>72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4" x14ac:dyDescent="0.15">
      <c r="B37" s="1" t="s">
        <v>49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15">
      <c r="B38" s="3" t="s">
        <v>119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4" x14ac:dyDescent="0.15">
      <c r="B39" s="3" t="s">
        <v>73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15">
      <c r="B40" s="3" t="s">
        <v>74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15">
      <c r="B41" s="3" t="s">
        <v>75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15">
      <c r="B42" s="3" t="s">
        <v>76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15">
      <c r="C43" s="87"/>
      <c r="D43" s="87"/>
      <c r="E43" s="87"/>
      <c r="F43" s="87"/>
      <c r="G43" s="87"/>
      <c r="H43" s="87"/>
      <c r="I43" s="87"/>
    </row>
    <row r="44" spans="2:10" ht="15" customHeight="1" x14ac:dyDescent="0.15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15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15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15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2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7">
        <f>Inputs!C82</f>
        <v>0</v>
      </c>
      <c r="J48" s="8"/>
    </row>
    <row r="49" spans="2:11" ht="15" customHeight="1" thickTop="1" x14ac:dyDescent="0.15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15">
      <c r="C50" s="87"/>
      <c r="D50" s="87"/>
      <c r="E50" s="87"/>
      <c r="I50" s="87"/>
    </row>
    <row r="51" spans="2:11" ht="14" x14ac:dyDescent="0.15">
      <c r="B51" s="10" t="s">
        <v>87</v>
      </c>
      <c r="C51" s="31"/>
      <c r="D51" s="18"/>
    </row>
    <row r="52" spans="2:11" ht="14" x14ac:dyDescent="0.15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4" x14ac:dyDescent="0.15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15">
      <c r="C54" s="87"/>
      <c r="D54" s="87"/>
      <c r="E54" s="87"/>
      <c r="F54" s="87"/>
      <c r="G54" s="87"/>
      <c r="I54" s="87"/>
      <c r="K54" s="33"/>
    </row>
    <row r="55" spans="2:11" ht="14" x14ac:dyDescent="0.15">
      <c r="B55" s="25" t="s">
        <v>151</v>
      </c>
      <c r="C55" s="3"/>
      <c r="E55" s="125"/>
      <c r="F55" s="3"/>
      <c r="G55" s="3"/>
      <c r="I55" s="87"/>
      <c r="K55" s="33"/>
    </row>
    <row r="56" spans="2:11" ht="14" x14ac:dyDescent="0.15">
      <c r="B56" s="20" t="s">
        <v>90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4" x14ac:dyDescent="0.15">
      <c r="B57" s="20" t="s">
        <v>91</v>
      </c>
      <c r="C57" s="87"/>
      <c r="D57" s="283">
        <f>Inputs!C84</f>
        <v>0</v>
      </c>
      <c r="E57" s="282"/>
      <c r="G57" s="87"/>
      <c r="I57" s="87"/>
      <c r="K57" s="33" t="s">
        <v>92</v>
      </c>
    </row>
    <row r="58" spans="2:11" ht="12.75" customHeight="1" x14ac:dyDescent="0.15">
      <c r="B58" s="20" t="s">
        <v>93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15">
      <c r="C59" s="87"/>
      <c r="D59" s="87"/>
      <c r="E59" s="87"/>
      <c r="F59" s="87"/>
      <c r="G59" s="87"/>
      <c r="I59" s="87"/>
      <c r="K59" s="33"/>
    </row>
    <row r="60" spans="2:11" ht="14" x14ac:dyDescent="0.15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15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4" x14ac:dyDescent="0.15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4" x14ac:dyDescent="0.15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thickBot="1" x14ac:dyDescent="0.2">
      <c r="B64" s="121" t="s">
        <v>152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thickTop="1" x14ac:dyDescent="0.15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4" x14ac:dyDescent="0.15">
      <c r="B66" s="3"/>
      <c r="C66" s="68"/>
      <c r="D66" s="29"/>
      <c r="E66" s="61"/>
      <c r="F66" s="87"/>
      <c r="G66" s="87"/>
      <c r="I66" s="87"/>
      <c r="K66" s="33"/>
    </row>
    <row r="67" spans="1:11" ht="14" x14ac:dyDescent="0.15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4" x14ac:dyDescent="0.15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thickBot="1" x14ac:dyDescent="0.2">
      <c r="B69" s="121" t="s">
        <v>153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thickTop="1" x14ac:dyDescent="0.15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15">
      <c r="A72" s="5"/>
      <c r="B72" s="106" t="s">
        <v>128</v>
      </c>
      <c r="C72" s="271">
        <f>Data!C5</f>
        <v>45291</v>
      </c>
      <c r="D72" s="271"/>
      <c r="E72" s="285" t="s">
        <v>207</v>
      </c>
      <c r="F72" s="285"/>
      <c r="H72" s="285" t="s">
        <v>206</v>
      </c>
      <c r="I72" s="285"/>
      <c r="K72" s="50" t="s">
        <v>8</v>
      </c>
    </row>
    <row r="73" spans="1:11" ht="15" customHeight="1" x14ac:dyDescent="0.15">
      <c r="B73" s="12" t="str">
        <f>"(Numbers in "&amp;Data!C4&amp;Dashboard!G6&amp;")"</f>
        <v>(Numbers in 1000HKD)</v>
      </c>
      <c r="C73" s="272" t="s">
        <v>101</v>
      </c>
      <c r="D73" s="272"/>
      <c r="E73" s="286" t="s">
        <v>102</v>
      </c>
      <c r="F73" s="272"/>
      <c r="H73" s="286" t="s">
        <v>102</v>
      </c>
      <c r="I73" s="272"/>
      <c r="K73" s="24"/>
    </row>
    <row r="74" spans="1:11" ht="15" customHeight="1" x14ac:dyDescent="0.15">
      <c r="B74" s="3" t="s">
        <v>127</v>
      </c>
      <c r="C74" s="77">
        <f>Data!C6</f>
        <v>1487090</v>
      </c>
      <c r="D74" s="209"/>
      <c r="E74" s="238">
        <f>Inputs!E91</f>
        <v>1487090</v>
      </c>
      <c r="F74" s="209"/>
      <c r="H74" s="238">
        <f>Inputs!F91</f>
        <v>1487090</v>
      </c>
      <c r="I74" s="209"/>
      <c r="K74" s="24"/>
    </row>
    <row r="75" spans="1:11" ht="15" customHeight="1" x14ac:dyDescent="0.15">
      <c r="B75" s="104" t="s">
        <v>106</v>
      </c>
      <c r="C75" s="77">
        <f>Data!C8</f>
        <v>692542</v>
      </c>
      <c r="D75" s="159">
        <f>C75/$C$74</f>
        <v>0.46570281556597115</v>
      </c>
      <c r="E75" s="238">
        <f>Inputs!E92</f>
        <v>692542</v>
      </c>
      <c r="F75" s="160">
        <f>E75/E74</f>
        <v>0.46570281556597115</v>
      </c>
      <c r="H75" s="238">
        <f>Inputs!F92</f>
        <v>692542</v>
      </c>
      <c r="I75" s="160">
        <f>H75/$H$74</f>
        <v>0.46570281556597115</v>
      </c>
      <c r="K75" s="24"/>
    </row>
    <row r="76" spans="1:11" ht="15" customHeight="1" x14ac:dyDescent="0.15">
      <c r="B76" s="35" t="s">
        <v>96</v>
      </c>
      <c r="C76" s="161">
        <f>C74-C75</f>
        <v>794548</v>
      </c>
      <c r="D76" s="210"/>
      <c r="E76" s="162">
        <f>E74-E75</f>
        <v>794548</v>
      </c>
      <c r="F76" s="210"/>
      <c r="H76" s="162">
        <f>H74-H75</f>
        <v>794548</v>
      </c>
      <c r="I76" s="210"/>
      <c r="K76" s="24"/>
    </row>
    <row r="77" spans="1:11" ht="15" customHeight="1" x14ac:dyDescent="0.15">
      <c r="B77" s="104" t="s">
        <v>248</v>
      </c>
      <c r="C77" s="77">
        <f>Data!C10+MAX(Data!C11,0)</f>
        <v>730104</v>
      </c>
      <c r="D77" s="159">
        <f>C77/$C$74</f>
        <v>0.49096154234108225</v>
      </c>
      <c r="E77" s="238">
        <f>Inputs!E93</f>
        <v>730104</v>
      </c>
      <c r="F77" s="160">
        <f>E77/E74</f>
        <v>0.49096154234108225</v>
      </c>
      <c r="H77" s="238">
        <f>Inputs!F93</f>
        <v>730104</v>
      </c>
      <c r="I77" s="160">
        <f>H77/$H$74</f>
        <v>0.49096154234108225</v>
      </c>
      <c r="K77" s="24"/>
    </row>
    <row r="78" spans="1:11" ht="15" customHeight="1" x14ac:dyDescent="0.15">
      <c r="B78" s="73" t="s">
        <v>173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15">
      <c r="B79" s="256" t="s">
        <v>233</v>
      </c>
      <c r="C79" s="257">
        <f>C76-C77-C78</f>
        <v>64444</v>
      </c>
      <c r="D79" s="258">
        <f>C79/C74</f>
        <v>4.333564209294663E-2</v>
      </c>
      <c r="E79" s="259">
        <f>E76-E77-E78</f>
        <v>64444</v>
      </c>
      <c r="F79" s="258">
        <f>E79/E74</f>
        <v>4.333564209294663E-2</v>
      </c>
      <c r="G79" s="260"/>
      <c r="H79" s="259">
        <f>H76-H77-H78</f>
        <v>64444</v>
      </c>
      <c r="I79" s="258">
        <f>H79/H74</f>
        <v>4.333564209294663E-2</v>
      </c>
      <c r="K79" s="24"/>
    </row>
    <row r="80" spans="1:11" ht="15" customHeight="1" x14ac:dyDescent="0.15">
      <c r="B80" s="28" t="s">
        <v>110</v>
      </c>
      <c r="C80" s="77">
        <f>MAX(Data!C16,0)</f>
        <v>58778</v>
      </c>
      <c r="D80" s="159">
        <f>C80/$C$74</f>
        <v>3.9525516276755275E-2</v>
      </c>
      <c r="E80" s="180">
        <f>E74*F80</f>
        <v>58778</v>
      </c>
      <c r="F80" s="160">
        <f>I80</f>
        <v>3.9525516276755275E-2</v>
      </c>
      <c r="H80" s="238">
        <f>Inputs!F96</f>
        <v>58778</v>
      </c>
      <c r="I80" s="160">
        <f>H80/$H$74</f>
        <v>3.9525516276755275E-2</v>
      </c>
      <c r="K80" s="181" t="s">
        <v>132</v>
      </c>
    </row>
    <row r="81" spans="1:11" ht="15" customHeight="1" x14ac:dyDescent="0.15">
      <c r="B81" s="104" t="s">
        <v>257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15">
      <c r="B82" s="28" t="s">
        <v>247</v>
      </c>
      <c r="C82" s="77">
        <f>ABS(MAX(Data!C21,0)-MAX(Data!C19,0))</f>
        <v>171912</v>
      </c>
      <c r="D82" s="159">
        <f>C82/$C$74</f>
        <v>0.11560295610891069</v>
      </c>
      <c r="E82" s="238">
        <f>Inputs!E95</f>
        <v>171912</v>
      </c>
      <c r="F82" s="160">
        <f>E82/E74</f>
        <v>0.11560295610891069</v>
      </c>
      <c r="H82" s="238">
        <f>Inputs!F95</f>
        <v>171912</v>
      </c>
      <c r="I82" s="160">
        <f>H82/$H$74</f>
        <v>0.11560295610891069</v>
      </c>
      <c r="K82" s="24"/>
    </row>
    <row r="83" spans="1:11" ht="15" customHeight="1" thickBot="1" x14ac:dyDescent="0.2">
      <c r="B83" s="105" t="s">
        <v>126</v>
      </c>
      <c r="C83" s="163">
        <f>C79-C81-C82-C80</f>
        <v>-166246</v>
      </c>
      <c r="D83" s="164">
        <f>C83/$C$74</f>
        <v>-0.11179283029271934</v>
      </c>
      <c r="E83" s="165">
        <f>E79-E81-E82-E80</f>
        <v>-166246</v>
      </c>
      <c r="F83" s="164">
        <f>E83/E74</f>
        <v>-0.11179283029271934</v>
      </c>
      <c r="H83" s="165">
        <f>H79-H81-H82-H80</f>
        <v>-166246</v>
      </c>
      <c r="I83" s="164">
        <f>H83/$H$74</f>
        <v>-0.11179283029271934</v>
      </c>
      <c r="K83" s="24"/>
    </row>
    <row r="84" spans="1:11" ht="15" customHeight="1" thickTop="1" x14ac:dyDescent="0.15">
      <c r="B84" s="28" t="s">
        <v>97</v>
      </c>
      <c r="C84" s="211"/>
      <c r="D84" s="159">
        <f>I84</f>
        <v>0.16500000000000001</v>
      </c>
      <c r="E84" s="212"/>
      <c r="F84" s="179">
        <f t="shared" ref="F84" si="3">I84</f>
        <v>0.16500000000000001</v>
      </c>
      <c r="H84" s="212"/>
      <c r="I84" s="202">
        <f>Inputs!C16</f>
        <v>0.16500000000000001</v>
      </c>
      <c r="K84" s="24"/>
    </row>
    <row r="85" spans="1:11" ht="15" customHeight="1" x14ac:dyDescent="0.15">
      <c r="B85" s="263" t="s">
        <v>165</v>
      </c>
      <c r="C85" s="257">
        <f>C83*(1-I84)</f>
        <v>-138815.41</v>
      </c>
      <c r="D85" s="258">
        <f>C85/$C$74</f>
        <v>-9.3347013294420647E-2</v>
      </c>
      <c r="E85" s="264">
        <f>E83*(1-F84)</f>
        <v>-138815.41</v>
      </c>
      <c r="F85" s="258">
        <f>E85/E74</f>
        <v>-9.3347013294420647E-2</v>
      </c>
      <c r="G85" s="260"/>
      <c r="H85" s="264">
        <f>H83*(1-I84)</f>
        <v>-138815.41</v>
      </c>
      <c r="I85" s="258">
        <f>H85/$H$74</f>
        <v>-9.3347013294420647E-2</v>
      </c>
      <c r="K85" s="24"/>
    </row>
    <row r="86" spans="1:11" ht="15" customHeight="1" x14ac:dyDescent="0.15">
      <c r="B86" s="87" t="s">
        <v>161</v>
      </c>
      <c r="C86" s="167">
        <f>C85*Data!C4/Common_Shares</f>
        <v>-0.17855978791633639</v>
      </c>
      <c r="D86" s="209"/>
      <c r="E86" s="168">
        <f>E85*Data!C4/Common_Shares</f>
        <v>-0.17855978791633639</v>
      </c>
      <c r="F86" s="209"/>
      <c r="H86" s="168">
        <f>H85*Data!C4/Common_Shares</f>
        <v>-0.17855978791633639</v>
      </c>
      <c r="I86" s="209"/>
      <c r="K86" s="24"/>
    </row>
    <row r="87" spans="1:11" ht="15" customHeight="1" x14ac:dyDescent="0.15">
      <c r="B87" s="87" t="s">
        <v>209</v>
      </c>
      <c r="C87" s="261">
        <f>C86*Exchange_Rate/Dashboard!G3</f>
        <v>-0.41048227107203766</v>
      </c>
      <c r="D87" s="209"/>
      <c r="E87" s="262">
        <f>E86*Exchange_Rate/Dashboard!G3</f>
        <v>-0.41048227107203766</v>
      </c>
      <c r="F87" s="209"/>
      <c r="H87" s="262">
        <f>H86*Exchange_Rate/Dashboard!G3</f>
        <v>-0.41048227107203766</v>
      </c>
      <c r="I87" s="209"/>
      <c r="K87" s="24"/>
    </row>
    <row r="88" spans="1:11" ht="15" customHeight="1" x14ac:dyDescent="0.15">
      <c r="B88" s="86" t="s">
        <v>208</v>
      </c>
      <c r="C88" s="169">
        <f>Inputs!C44</f>
        <v>0.06</v>
      </c>
      <c r="D88" s="166">
        <f>C88/C86</f>
        <v>-0.33602190448452368</v>
      </c>
      <c r="E88" s="170">
        <v>0</v>
      </c>
      <c r="F88" s="166">
        <f>E88/E86</f>
        <v>0</v>
      </c>
      <c r="H88" s="170">
        <f>Inputs!F98</f>
        <v>0.06</v>
      </c>
      <c r="I88" s="166">
        <f>H88/H86</f>
        <v>-0.33602190448452368</v>
      </c>
      <c r="K88" s="24"/>
    </row>
    <row r="89" spans="1:11" ht="15" customHeight="1" x14ac:dyDescent="0.15">
      <c r="B89" s="87" t="s">
        <v>222</v>
      </c>
      <c r="C89" s="261">
        <f>C88*Exchange_Rate/Dashboard!G3</f>
        <v>0.13793103448275862</v>
      </c>
      <c r="D89" s="209"/>
      <c r="E89" s="261">
        <f>E88*Exchange_Rate/Dashboard!G3</f>
        <v>0</v>
      </c>
      <c r="F89" s="209"/>
      <c r="H89" s="261">
        <f>H88*Exchange_Rate/Dashboard!G3</f>
        <v>0.13793103448275862</v>
      </c>
      <c r="I89" s="209"/>
      <c r="K89" s="24"/>
    </row>
    <row r="90" spans="1:11" ht="15" customHeight="1" x14ac:dyDescent="0.15">
      <c r="B90" s="28"/>
      <c r="C90" s="88"/>
    </row>
    <row r="91" spans="1:11" ht="15" customHeight="1" x14ac:dyDescent="0.15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15">
      <c r="B92" s="10" t="s">
        <v>156</v>
      </c>
      <c r="C92" s="198" t="str">
        <f>Inputs!C15</f>
        <v>HK</v>
      </c>
      <c r="D92" s="10" t="s">
        <v>157</v>
      </c>
      <c r="E92" s="285" t="s">
        <v>207</v>
      </c>
      <c r="F92" s="285"/>
      <c r="G92" s="87"/>
      <c r="H92" s="285" t="s">
        <v>206</v>
      </c>
      <c r="I92" s="285"/>
      <c r="K92" s="24"/>
    </row>
    <row r="93" spans="1:11" ht="15" customHeight="1" x14ac:dyDescent="0.15">
      <c r="B93" s="1" t="str">
        <f>C92&amp;" Discount Rate"</f>
        <v>HK Discount Rate</v>
      </c>
      <c r="C93" s="136">
        <f>IF(C92="CN",Dashboard!C17,IF(C92="US",Dashboard!C12,IF(C92="HK",Dashboard!D12,Dashboard!D17)))</f>
        <v>8.5999999999999993E-2</v>
      </c>
      <c r="D93" s="239">
        <f>Inputs!C86</f>
        <v>5</v>
      </c>
      <c r="E93" s="87" t="s">
        <v>210</v>
      </c>
      <c r="F93" s="144">
        <f>FV(E87,D93,0,-(E86/(C93-D94)))*Exchange_Rate</f>
        <v>-0.1926300680429513</v>
      </c>
      <c r="H93" s="87" t="s">
        <v>210</v>
      </c>
      <c r="I93" s="144">
        <f>FV(H87,D93,0,-(H86/(C93-D94)))*Exchange_Rate</f>
        <v>-0.1926300680429513</v>
      </c>
      <c r="K93" s="24"/>
    </row>
    <row r="94" spans="1:11" ht="15" customHeight="1" x14ac:dyDescent="0.15">
      <c r="B94" s="1" t="s">
        <v>212</v>
      </c>
      <c r="C94" s="182">
        <f>Dashboard!G20</f>
        <v>0.15</v>
      </c>
      <c r="D94" s="270">
        <f>Inputs!D87</f>
        <v>0.02</v>
      </c>
      <c r="E94" s="87" t="s">
        <v>211</v>
      </c>
      <c r="F94" s="144">
        <f>FV(E89,D93,0,-(E88/(C93-D94)))*Exchange_Rate</f>
        <v>0</v>
      </c>
      <c r="H94" s="87" t="s">
        <v>211</v>
      </c>
      <c r="I94" s="144">
        <f>FV(H89,D93,0,-(H88/(C93-D94)))*Exchange_Rate</f>
        <v>1.7345508045404969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3" t="str">
        <f>E72</f>
        <v>Pessimistic Case</v>
      </c>
      <c r="F96" s="227" t="s">
        <v>238</v>
      </c>
      <c r="H96" s="183" t="str">
        <f>H72</f>
        <v>Base Case</v>
      </c>
      <c r="I96" s="124" t="s">
        <v>115</v>
      </c>
      <c r="K96" s="24"/>
    </row>
    <row r="97" spans="2:11" ht="15" customHeight="1" x14ac:dyDescent="0.15">
      <c r="B97" s="1" t="s">
        <v>131</v>
      </c>
      <c r="C97" s="91">
        <f>H97*Common_Shares/Data!C4</f>
        <v>-74454.147443349284</v>
      </c>
      <c r="D97" s="213"/>
      <c r="E97" s="123">
        <f>PV(C94,D93,0,-F93)</f>
        <v>-9.5771188349881964E-2</v>
      </c>
      <c r="F97" s="213"/>
      <c r="H97" s="123">
        <f>PV(C94,D93,0,-I93)</f>
        <v>-9.5771188349881964E-2</v>
      </c>
      <c r="I97" s="123">
        <f>PV(C93,D93,0,-I93)</f>
        <v>-0.12751901569027174</v>
      </c>
      <c r="K97" s="24"/>
    </row>
    <row r="98" spans="2:11" ht="15" customHeight="1" x14ac:dyDescent="0.15">
      <c r="B98" s="28" t="s">
        <v>145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2">
      <c r="B99" s="105" t="s">
        <v>146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15">
      <c r="B100" s="1" t="s">
        <v>115</v>
      </c>
      <c r="C100" s="91">
        <f>C97-C98+$C$99</f>
        <v>-74454.147443349284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15">
      <c r="E101" s="24"/>
      <c r="K101" s="24"/>
    </row>
    <row r="102" spans="2:11" ht="15" customHeight="1" x14ac:dyDescent="0.15">
      <c r="B102" s="10" t="s">
        <v>163</v>
      </c>
      <c r="C102" s="127" t="str">
        <f>C96</f>
        <v>HKD</v>
      </c>
      <c r="D102" s="124" t="s">
        <v>214</v>
      </c>
      <c r="E102" s="183" t="str">
        <f>E96</f>
        <v>Pessimistic Case</v>
      </c>
      <c r="F102" s="227" t="s">
        <v>238</v>
      </c>
      <c r="H102" s="183" t="str">
        <f>H96</f>
        <v>Base Case</v>
      </c>
      <c r="I102" s="124" t="s">
        <v>115</v>
      </c>
      <c r="K102" s="24"/>
    </row>
    <row r="103" spans="2:11" ht="15" customHeight="1" x14ac:dyDescent="0.15">
      <c r="B103" s="1" t="s">
        <v>162</v>
      </c>
      <c r="C103" s="91">
        <f>H103*Common_Shares/Data!C4</f>
        <v>670427.53325738618</v>
      </c>
      <c r="D103" s="109">
        <f>MIN(F103*(1-C94),E103)</f>
        <v>0</v>
      </c>
      <c r="E103" s="123">
        <f>PV(C94,D93,0,-F94)</f>
        <v>0</v>
      </c>
      <c r="F103" s="109">
        <f>(E103+H103)/2</f>
        <v>0.4311891531052332</v>
      </c>
      <c r="H103" s="123">
        <f>PV(C94,D93,0,-I94)</f>
        <v>0.86237830621046641</v>
      </c>
      <c r="I103" s="109">
        <f>PV(C93,D93,0,-I94)</f>
        <v>1.1482538188713827</v>
      </c>
      <c r="K103" s="24"/>
    </row>
    <row r="104" spans="2:11" ht="15" customHeight="1" x14ac:dyDescent="0.15">
      <c r="E104" s="24"/>
      <c r="K104" s="24"/>
    </row>
    <row r="105" spans="2:11" ht="15" customHeight="1" x14ac:dyDescent="0.15">
      <c r="B105" s="10" t="s">
        <v>198</v>
      </c>
      <c r="C105" s="127" t="str">
        <f>C102</f>
        <v>HKD</v>
      </c>
      <c r="D105" s="124" t="s">
        <v>214</v>
      </c>
      <c r="E105" s="184" t="str">
        <f>E96</f>
        <v>Pessimistic Case</v>
      </c>
      <c r="F105" s="227" t="s">
        <v>238</v>
      </c>
      <c r="H105" s="184" t="str">
        <f>H96</f>
        <v>Base Case</v>
      </c>
      <c r="I105" s="124" t="s">
        <v>115</v>
      </c>
      <c r="K105" s="24"/>
    </row>
    <row r="106" spans="2:11" ht="15" customHeight="1" x14ac:dyDescent="0.15">
      <c r="B106" s="1" t="s">
        <v>199</v>
      </c>
      <c r="C106" s="91">
        <f>E106*Common_Shares/Data!C4</f>
        <v>0</v>
      </c>
      <c r="D106" s="109">
        <f>(D100+D103)/2</f>
        <v>0</v>
      </c>
      <c r="E106" s="123">
        <f>(E100+E103)/2</f>
        <v>0</v>
      </c>
      <c r="F106" s="109">
        <f>(F100+F103)/2</f>
        <v>0.2155945765526166</v>
      </c>
      <c r="H106" s="123">
        <f>(H100+H103)/2</f>
        <v>0.4311891531052332</v>
      </c>
      <c r="I106" s="123">
        <f>(I100+I103)/2</f>
        <v>0.57412690943569133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166</v>
      </c>
      <c r="C108" s="128" t="s">
        <v>268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2024-12-05T12:31:19Z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