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13_ncr:1_{1609323E-9875-BC49-9520-B9FDAE26F8AF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16" i="4" l="1"/>
  <c r="F95" i="4"/>
  <c r="E95" i="4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56" i="4" l="1"/>
  <c r="D33" i="2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F91" i="4" l="1"/>
  <c r="E91" i="4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J12" i="2" l="1"/>
  <c r="I12" i="2"/>
  <c r="D12" i="2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47" i="2"/>
  <c r="J47" i="2"/>
  <c r="F47" i="2"/>
  <c r="C47" i="2"/>
  <c r="M22" i="2"/>
  <c r="M47" i="2"/>
  <c r="L46" i="2"/>
  <c r="L14" i="2"/>
  <c r="K15" i="2" s="1"/>
  <c r="I46" i="2"/>
  <c r="K46" i="2"/>
  <c r="K14" i="2"/>
  <c r="J15" i="2" s="1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I14" i="2" s="1"/>
  <c r="I22" i="2" s="1"/>
  <c r="D7" i="2"/>
  <c r="K9" i="2"/>
  <c r="J9" i="2"/>
  <c r="J14" i="2" s="1"/>
  <c r="J22" i="2" s="1"/>
  <c r="E102" i="3"/>
  <c r="H102" i="3"/>
  <c r="C93" i="3"/>
  <c r="I94" i="3" l="1"/>
  <c r="H103" i="3" s="1"/>
  <c r="D93" i="4"/>
  <c r="D97" i="4"/>
  <c r="F97" i="4" s="1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E93" i="4" l="1"/>
  <c r="F93" i="4"/>
  <c r="E92" i="4"/>
  <c r="F92" i="4"/>
  <c r="I103" i="3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E48" i="2"/>
  <c r="C34" i="2"/>
  <c r="C33" i="2"/>
  <c r="C47" i="3"/>
  <c r="C45" i="3"/>
  <c r="C27" i="3"/>
  <c r="C26" i="3"/>
  <c r="C44" i="3"/>
  <c r="C46" i="3"/>
  <c r="F96" i="4" l="1"/>
  <c r="H80" i="3" s="1"/>
  <c r="I80" i="3" s="1"/>
  <c r="C35" i="2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C23" i="1" l="1"/>
  <c r="F80" i="3"/>
  <c r="E80" i="3" s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F94" i="4" l="1"/>
  <c r="H81" i="3" s="1"/>
  <c r="I81" i="3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<sst xmlns="http://schemas.openxmlformats.org/spreadsheetml/2006/main" count="390" uniqueCount="270">
  <si>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</si>
  <si>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</si>
  <si>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</si>
  <si>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</si>
  <si>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</si>
  <si>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</si>
  <si>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</si>
  <si>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</si>
  <si>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</si>
  <si>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</si>
  <si>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</si>
  <si>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</si>
  <si>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</si>
  <si>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</si>
  <si>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</si>
  <si>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</si>
  <si>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</si>
  <si>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</si>
  <si>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</si>
  <si>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</si>
  <si>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</si>
  <si>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</si>
  <si>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</si>
  <si>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</si>
  <si>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</si>
  <si>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</si>
  <si>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</si>
  <si>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</si>
  <si>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</si>
  <si>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</si>
  <si>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</si>
  <si>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</si>
  <si>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</si>
  <si>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</si>
  <si>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</si>
  <si>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</si>
  <si>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</si>
  <si>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</si>
  <si>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</si>
  <si>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</si>
  <si>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</si>
  <si>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</si>
  <si>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</si>
  <si>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</si>
  <si>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</si>
  <si>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</si>
  <si>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</si>
  <si>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</si>
  <si>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</si>
  <si>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</si>
  <si>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</si>
  <si>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</si>
  <si>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</si>
  <si>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</si>
  <si>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</si>
  <si>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</si>
  <si>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</si>
  <si>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</si>
  <si>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</si>
  <si>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</si>
  <si>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</si>
  <si>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</si>
  <si>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</si>
  <si>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</si>
  <si>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</si>
  <si>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</si>
  <si>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</si>
  <si>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</si>
  <si>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</si>
  <si>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</si>
  <si>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</si>
  <si>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</si>
  <si>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</si>
  <si>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</si>
  <si>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</si>
  <si>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</si>
  <si>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</si>
  <si>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</si>
  <si>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</si>
  <si>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</si>
  <si>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</si>
  <si>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</si>
  <si>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</si>
  <si>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</si>
  <si>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</si>
  <si>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</si>
  <si>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</si>
  <si>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</si>
  <si>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</si>
  <si>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</si>
  <si>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</si>
  <si>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</si>
  <si>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</si>
  <si>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</si>
  <si>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</si>
  <si>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</si>
  <si>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</si>
  <si>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</si>
  <si>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</si>
  <si>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</si>
  <si>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</si>
  <si>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</si>
  <si>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</si>
  <si>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</si>
  <si>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</si>
  <si>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</si>
  <si>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</si>
  <si>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</si>
  <si>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</si>
  <si>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</si>
  <si>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</si>
  <si>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</si>
  <si>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</si>
  <si>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</si>
  <si>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</si>
  <si>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</si>
  <si>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</si>
  <si>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</si>
  <si>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</si>
  <si>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</si>
  <si>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</si>
  <si>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</si>
  <si>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</si>
  <si>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</si>
  <si>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</si>
  <si>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</si>
  <si>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</si>
  <si>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</si>
  <si>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</si>
  <si>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</si>
  <si>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</si>
  <si>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</si>
  <si>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</si>
  <si>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</si>
  <si>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</si>
  <si>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</si>
  <si>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</si>
  <si>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</si>
  <si>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</si>
  <si>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</si>
  <si>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</si>
  <si>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</si>
  <si>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</si>
  <si>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</si>
  <si>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</si>
  <si>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</si>
  <si>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</si>
  <si>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</si>
  <si>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</si>
  <si>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</si>
  <si>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</si>
  <si>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</si>
  <si>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</si>
  <si>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</si>
  <si>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</si>
  <si>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</si>
  <si>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</si>
  <si>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</si>
  <si>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</si>
  <si>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</si>
  <si>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</si>
  <si>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</si>
  <si>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</si>
  <si>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</si>
  <si>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</si>
  <si>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</si>
  <si>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</si>
  <si>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</si>
  <si>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</si>
  <si>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</si>
  <si>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</si>
  <si>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</si>
  <si>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</si>
  <si>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</si>
  <si>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</si>
  <si>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</si>
  <si>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</si>
  <si>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</si>
  <si>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</si>
  <si>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</si>
  <si>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</si>
  <si>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</si>
  <si>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</si>
  <si>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</si>
  <si>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</si>
  <si>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</si>
  <si>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</si>
  <si>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</si>
  <si>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</si>
  <si>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</si>
  <si>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</si>
  <si>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</si>
  <si>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</si>
  <si>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</si>
  <si>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</si>
  <si>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</si>
  <si>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</si>
  <si>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</si>
  <si>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</si>
  <si>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</si>
  <si>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</si>
  <si>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</si>
  <si>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</si>
  <si>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</si>
  <si>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</si>
  <si>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</si>
  <si>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</si>
  <si>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</si>
  <si>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</si>
  <si>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</si>
  <si>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</si>
  <si>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</si>
  <si>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</si>
  <si>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</si>
  <si>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</si>
  <si>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</si>
  <si>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</si>
  <si>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</si>
  <si>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</si>
  <si>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</si>
  <si>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</si>
  <si>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</si>
  <si>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</si>
  <si>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</si>
  <si>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</si>
  <si>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</si>
  <si>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</si>
  <si>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</si>
  <si>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</si>
  <si>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</si>
  <si>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</si>
  <si>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</si>
  <si>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</si>
  <si>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</si>
  <si>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</si>
  <si>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</si>
  <si>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</si>
  <si>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</si>
  <si>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</si>
  <si>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</si>
  <si>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</si>
  <si>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</si>
  <si>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</si>
  <si>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</si>
  <si>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</si>
  <si>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</si>
  <si>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</si>
  <si>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</si>
  <si>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</si>
  <si>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</si>
  <si>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</si>
  <si>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</si>
  <si>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</si>
  <si>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</si>
  <si>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</si>
  <si>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</si>
  <si>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</si>
  <si>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</si>
  <si>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</si>
  <si>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</si>
  <si>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</si>
  <si>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1475.HK</t>
  </si>
  <si>
    <t>NISSIN FOODS</t>
  </si>
  <si>
    <t xml:space="preserve">Superior Cycl. </t>
  </si>
  <si>
    <t>C0002</t>
  </si>
  <si>
    <t>CN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</si>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</sst>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  <numFmt numFmtId="175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72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164" fontId="4" fillId="0" borderId="0" xfId="0" applyNumberFormat="1" applyFont="1" applyAlignment="1">
      <alignment horizontal="center"/>
    </xf>
    <xf numFmtId="172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5" fontId="2" fillId="9" borderId="14" xfId="0" applyNumberFormat="1" applyFont="1" applyFill="1" applyBorder="1" applyAlignment="1">
      <alignment horizontal="right"/>
    </xf>
    <xf numFmtId="171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4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9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9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9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69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73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74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73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73" fontId="2" fillId="8" borderId="17" xfId="0" applyNumberFormat="1" applyFont="1" applyFill="1" applyBorder="1" applyAlignment="1">
      <alignment horizontal="right"/>
    </xf>
    <xf numFmtId="169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68" fontId="1" fillId="0" borderId="14" xfId="0" applyNumberFormat="1" applyFont="1" applyBorder="1" applyAlignment="1">
      <alignment horizontal="right"/>
    </xf>
    <xf numFmtId="175" fontId="2" fillId="8" borderId="3" xfId="0" applyNumberFormat="1" applyFont="1" applyFill="1" applyBorder="1" applyAlignment="1">
      <alignment horizontal="center"/>
    </xf>
    <xf numFmtId="175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5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0.66005868735054896</c:v>
                </c:pt>
                <c:pt idx="1">
                  <c:v>0.21645682425674254</c:v>
                </c:pt>
                <c:pt idx="2">
                  <c:v>9.8097105597332122E-4</c:v>
                </c:pt>
                <c:pt idx="3">
                  <c:v>0</c:v>
                </c:pt>
                <c:pt idx="4">
                  <c:v>7.0437342852983705E-5</c:v>
                </c:pt>
                <c:pt idx="5">
                  <c:v>0</c:v>
                </c:pt>
                <c:pt idx="6">
                  <c:v>0.12243307999388223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zoomScaleNormal="100" workbookViewId="0">
      <selection activeCell="D17" sqref="D17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5" ht="16" x14ac:dyDescent="0.2">
      <c r="A2" s="5"/>
      <c r="B2" s="6" t="s">
        <v>215</v>
      </c>
    </row>
    <row r="4" spans="1:5" ht="14" x14ac:dyDescent="0.15">
      <c r="B4" s="141" t="s">
        <v>195</v>
      </c>
      <c r="C4" s="188" t="s">
        <v>261</v>
      </c>
    </row>
    <row r="5" spans="1:5" ht="14" x14ac:dyDescent="0.15">
      <c r="B5" s="141" t="s">
        <v>196</v>
      </c>
      <c r="C5" s="191" t="s">
        <v>262</v>
      </c>
    </row>
    <row r="6" spans="1:5" ht="14" x14ac:dyDescent="0.15">
      <c r="B6" s="141" t="s">
        <v>164</v>
      </c>
      <c r="C6" s="189">
        <v>45591</v>
      </c>
    </row>
    <row r="7" spans="1:5" ht="14" x14ac:dyDescent="0.15">
      <c r="B7" s="140" t="s">
        <v>4</v>
      </c>
      <c r="C7" s="190">
        <v>8</v>
      </c>
    </row>
    <row r="8" spans="1:5" ht="14" x14ac:dyDescent="0.15">
      <c r="B8" s="140" t="s">
        <v>216</v>
      </c>
      <c r="C8" s="191" t="s">
        <v>263</v>
      </c>
      <c r="E8" s="267"/>
    </row>
    <row r="9" spans="1:5" ht="14" x14ac:dyDescent="0.15">
      <c r="B9" s="140" t="s">
        <v>217</v>
      </c>
      <c r="C9" s="192" t="s">
        <v>264</v>
      </c>
    </row>
    <row r="10" spans="1:5" ht="14" x14ac:dyDescent="0.15">
      <c r="B10" s="140" t="s">
        <v>218</v>
      </c>
      <c r="C10" s="193">
        <v>1043691480</v>
      </c>
    </row>
    <row r="11" spans="1:5" ht="14" x14ac:dyDescent="0.15">
      <c r="B11" s="140" t="s">
        <v>219</v>
      </c>
      <c r="C11" s="192" t="s">
        <v>2</v>
      </c>
    </row>
    <row r="12" spans="1:5" ht="14" x14ac:dyDescent="0.15">
      <c r="B12" s="218" t="s">
        <v>10</v>
      </c>
      <c r="C12" s="219">
        <v>45291</v>
      </c>
    </row>
    <row r="13" spans="1:5" ht="14" x14ac:dyDescent="0.15">
      <c r="B13" s="218" t="s">
        <v>11</v>
      </c>
      <c r="C13" s="220">
        <v>1000</v>
      </c>
    </row>
    <row r="14" spans="1:5" ht="14" x14ac:dyDescent="0.15">
      <c r="B14" s="218" t="s">
        <v>220</v>
      </c>
      <c r="C14" s="219">
        <v>45473</v>
      </c>
    </row>
    <row r="15" spans="1:5" ht="14" x14ac:dyDescent="0.15">
      <c r="B15" s="218" t="s">
        <v>257</v>
      </c>
      <c r="C15" s="176" t="s">
        <v>265</v>
      </c>
    </row>
    <row r="16" spans="1:5" ht="14" x14ac:dyDescent="0.15">
      <c r="B16" s="222" t="s">
        <v>97</v>
      </c>
      <c r="C16" s="223">
        <f>(16.5%+25%)/2</f>
        <v>0.20750000000000002</v>
      </c>
      <c r="D16" s="24"/>
    </row>
    <row r="17" spans="2:13" ht="14" x14ac:dyDescent="0.15">
      <c r="B17" s="240" t="s">
        <v>225</v>
      </c>
      <c r="C17" s="242" t="s">
        <v>266</v>
      </c>
      <c r="D17" s="24"/>
    </row>
    <row r="18" spans="2:13" ht="14" x14ac:dyDescent="0.15">
      <c r="B18" s="240" t="s">
        <v>239</v>
      </c>
      <c r="C18" s="242" t="s">
        <v>246</v>
      </c>
      <c r="D18" s="24"/>
    </row>
    <row r="19" spans="2:13" ht="14" x14ac:dyDescent="0.15">
      <c r="B19" s="240" t="s">
        <v>240</v>
      </c>
      <c r="C19" s="242" t="s">
        <v>267</v>
      </c>
      <c r="D19" s="24"/>
    </row>
    <row r="20" spans="2:13" ht="14" x14ac:dyDescent="0.15">
      <c r="B20" s="241" t="s">
        <v>229</v>
      </c>
      <c r="C20" s="242" t="s">
        <v>267</v>
      </c>
      <c r="D20" s="24"/>
    </row>
    <row r="21" spans="2:13" ht="14" x14ac:dyDescent="0.15">
      <c r="B21" s="224" t="s">
        <v>232</v>
      </c>
      <c r="C21" s="242" t="s">
        <v>266</v>
      </c>
      <c r="D21" s="24"/>
    </row>
    <row r="22" spans="2:13" ht="84" x14ac:dyDescent="0.15">
      <c r="B22" s="226" t="s">
        <v>231</v>
      </c>
      <c r="C22" s="243" t="s">
        <v>268</v>
      </c>
      <c r="D22" s="24"/>
    </row>
    <row r="24" spans="2:13" ht="15" x14ac:dyDescent="0.15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5" x14ac:dyDescent="0.15">
      <c r="B25" s="94" t="s">
        <v>12</v>
      </c>
      <c r="C25" s="149">
        <v>3833194</v>
      </c>
      <c r="D25" s="149">
        <v>4067732</v>
      </c>
      <c r="E25" s="149">
        <v>3866335</v>
      </c>
      <c r="F25" s="149">
        <v>3518847</v>
      </c>
      <c r="G25" s="149">
        <v>3087781</v>
      </c>
      <c r="H25" s="149">
        <v>2998828</v>
      </c>
      <c r="I25" s="149">
        <v>2902271</v>
      </c>
      <c r="J25" s="149">
        <v>2629905</v>
      </c>
      <c r="K25" s="149"/>
      <c r="L25" s="149"/>
      <c r="M25" s="149"/>
    </row>
    <row r="26" spans="2:13" ht="15" x14ac:dyDescent="0.15">
      <c r="B26" s="97" t="s">
        <v>106</v>
      </c>
      <c r="C26" s="150">
        <v>2530133</v>
      </c>
      <c r="D26" s="150">
        <v>2764937</v>
      </c>
      <c r="E26" s="150">
        <v>2639016</v>
      </c>
      <c r="F26" s="150">
        <v>2360170</v>
      </c>
      <c r="G26" s="150">
        <v>2074351</v>
      </c>
      <c r="H26" s="150">
        <v>2065429</v>
      </c>
      <c r="I26" s="150">
        <v>1867706</v>
      </c>
      <c r="J26" s="150">
        <v>1588722</v>
      </c>
      <c r="K26" s="150"/>
      <c r="L26" s="150"/>
      <c r="M26" s="150"/>
    </row>
    <row r="27" spans="2:13" ht="15" x14ac:dyDescent="0.15">
      <c r="B27" s="97" t="s">
        <v>104</v>
      </c>
      <c r="C27" s="150">
        <v>829721</v>
      </c>
      <c r="D27" s="150">
        <v>842779</v>
      </c>
      <c r="E27" s="150">
        <v>769862</v>
      </c>
      <c r="F27" s="150">
        <v>714686</v>
      </c>
      <c r="G27" s="150">
        <v>676867</v>
      </c>
      <c r="H27" s="150">
        <v>648594</v>
      </c>
      <c r="I27" s="150">
        <v>767003</v>
      </c>
      <c r="J27" s="150">
        <v>750812</v>
      </c>
      <c r="K27" s="150"/>
      <c r="L27" s="150"/>
      <c r="M27" s="150"/>
    </row>
    <row r="28" spans="2:13" ht="15" x14ac:dyDescent="0.15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5" x14ac:dyDescent="0.15">
      <c r="B29" s="97" t="s">
        <v>258</v>
      </c>
      <c r="C29" s="150">
        <v>270</v>
      </c>
      <c r="D29" s="150">
        <v>259</v>
      </c>
      <c r="E29" s="150">
        <v>365</v>
      </c>
      <c r="F29" s="150">
        <v>116</v>
      </c>
      <c r="G29" s="150">
        <v>64</v>
      </c>
      <c r="H29" s="150">
        <v>0</v>
      </c>
      <c r="I29" s="150">
        <v>0</v>
      </c>
      <c r="J29" s="150">
        <v>0</v>
      </c>
      <c r="K29" s="150"/>
      <c r="L29" s="150"/>
      <c r="M29" s="150"/>
    </row>
    <row r="30" spans="2:13" ht="14" x14ac:dyDescent="0.15">
      <c r="B30" s="99" t="s">
        <v>111</v>
      </c>
      <c r="C30" s="150">
        <v>2980</v>
      </c>
      <c r="D30" s="150">
        <v>30135</v>
      </c>
      <c r="E30" s="150">
        <v>35414</v>
      </c>
      <c r="F30" s="150">
        <v>30652</v>
      </c>
      <c r="G30" s="150">
        <v>27954</v>
      </c>
      <c r="H30" s="150">
        <v>25134</v>
      </c>
      <c r="I30" s="150">
        <v>25097</v>
      </c>
      <c r="J30" s="150">
        <v>16390</v>
      </c>
      <c r="K30" s="150"/>
      <c r="L30" s="150"/>
      <c r="M30" s="150"/>
    </row>
    <row r="31" spans="2:13" ht="15" x14ac:dyDescent="0.15">
      <c r="B31" s="97" t="s">
        <v>110</v>
      </c>
      <c r="C31" s="150">
        <v>-212109</v>
      </c>
      <c r="D31" s="150">
        <v>-63909</v>
      </c>
      <c r="E31" s="150">
        <v>-85212</v>
      </c>
      <c r="F31" s="150">
        <v>-137953</v>
      </c>
      <c r="G31" s="150">
        <v>-184857</v>
      </c>
      <c r="H31" s="150">
        <v>-59025</v>
      </c>
      <c r="I31" s="150">
        <v>-13114</v>
      </c>
      <c r="J31" s="150">
        <v>-55207</v>
      </c>
      <c r="K31" s="150"/>
      <c r="L31" s="150"/>
      <c r="M31" s="150"/>
    </row>
    <row r="32" spans="2:13" ht="15" x14ac:dyDescent="0.15">
      <c r="B32" s="97" t="s">
        <v>105</v>
      </c>
      <c r="C32" s="150">
        <v>47627</v>
      </c>
      <c r="D32" s="150">
        <v>45913</v>
      </c>
      <c r="E32" s="150">
        <v>50573</v>
      </c>
      <c r="F32" s="150">
        <v>36563</v>
      </c>
      <c r="G32" s="150">
        <v>23174</v>
      </c>
      <c r="H32" s="150">
        <v>17650</v>
      </c>
      <c r="I32" s="150">
        <v>20113</v>
      </c>
      <c r="J32" s="150">
        <v>21618</v>
      </c>
      <c r="K32" s="150"/>
      <c r="L32" s="150"/>
      <c r="M32" s="150"/>
    </row>
    <row r="33" spans="2:13" ht="15" x14ac:dyDescent="0.15">
      <c r="B33" s="97" t="s">
        <v>108</v>
      </c>
      <c r="C33" s="150">
        <v>329600</v>
      </c>
      <c r="D33" s="150">
        <v>634000</v>
      </c>
      <c r="E33" s="150">
        <v>315900</v>
      </c>
      <c r="F33" s="150">
        <v>259700</v>
      </c>
      <c r="G33" s="150">
        <v>283600</v>
      </c>
      <c r="H33" s="150">
        <v>215300</v>
      </c>
      <c r="I33" s="150">
        <v>259700</v>
      </c>
      <c r="J33" s="150">
        <v>467600</v>
      </c>
      <c r="K33" s="150"/>
      <c r="L33" s="150"/>
      <c r="M33" s="150"/>
    </row>
    <row r="34" spans="2:13" ht="15" x14ac:dyDescent="0.15">
      <c r="B34" s="94" t="s">
        <v>15</v>
      </c>
      <c r="C34" s="217"/>
      <c r="D34" s="150">
        <v>2504156</v>
      </c>
      <c r="E34" s="150">
        <v>3108899</v>
      </c>
      <c r="F34" s="150">
        <v>3296593</v>
      </c>
      <c r="G34" s="150">
        <v>2995218</v>
      </c>
      <c r="H34" s="150">
        <v>2922746</v>
      </c>
      <c r="I34" s="150">
        <v>2928529</v>
      </c>
      <c r="J34" s="150">
        <v>2035257</v>
      </c>
      <c r="K34" s="150"/>
      <c r="L34" s="150"/>
      <c r="M34" s="150"/>
    </row>
    <row r="35" spans="2:13" ht="15" x14ac:dyDescent="0.15">
      <c r="B35" s="94" t="s">
        <v>117</v>
      </c>
      <c r="C35" s="217"/>
      <c r="D35" s="150">
        <v>372854</v>
      </c>
      <c r="E35" s="150">
        <v>475382</v>
      </c>
      <c r="F35" s="150">
        <v>508545</v>
      </c>
      <c r="G35" s="150">
        <v>421056</v>
      </c>
      <c r="H35" s="150">
        <v>449932</v>
      </c>
      <c r="I35" s="150">
        <v>420626</v>
      </c>
      <c r="J35" s="150">
        <v>296371</v>
      </c>
      <c r="K35" s="150"/>
      <c r="L35" s="150"/>
      <c r="M35" s="150"/>
    </row>
    <row r="36" spans="2:13" ht="15" x14ac:dyDescent="0.15">
      <c r="B36" s="94" t="s">
        <v>149</v>
      </c>
      <c r="C36" s="217"/>
      <c r="D36" s="150">
        <v>415015</v>
      </c>
      <c r="E36" s="150">
        <v>464999</v>
      </c>
      <c r="F36" s="150">
        <v>363144</v>
      </c>
      <c r="G36" s="150">
        <v>326593</v>
      </c>
      <c r="H36" s="150">
        <v>294086</v>
      </c>
      <c r="I36" s="150">
        <v>290728</v>
      </c>
      <c r="J36" s="150">
        <v>215131</v>
      </c>
      <c r="K36" s="150"/>
      <c r="L36" s="150"/>
      <c r="M36" s="150"/>
    </row>
    <row r="37" spans="2:13" ht="15" x14ac:dyDescent="0.15">
      <c r="B37" s="94" t="s">
        <v>16</v>
      </c>
      <c r="C37" s="217"/>
      <c r="D37" s="150">
        <v>896185</v>
      </c>
      <c r="E37" s="150">
        <v>1060434</v>
      </c>
      <c r="F37" s="150">
        <v>1065331</v>
      </c>
      <c r="G37" s="150">
        <v>859227</v>
      </c>
      <c r="H37" s="150">
        <v>796096</v>
      </c>
      <c r="I37" s="150"/>
      <c r="J37" s="150"/>
      <c r="K37" s="150"/>
      <c r="L37" s="150"/>
      <c r="M37" s="150"/>
    </row>
    <row r="38" spans="2:13" ht="15" x14ac:dyDescent="0.15">
      <c r="B38" s="94" t="s">
        <v>116</v>
      </c>
      <c r="C38" s="217"/>
      <c r="D38" s="150">
        <v>112845</v>
      </c>
      <c r="E38" s="150">
        <v>82874</v>
      </c>
      <c r="F38" s="150">
        <v>75361</v>
      </c>
      <c r="G38" s="150">
        <v>62385</v>
      </c>
      <c r="H38" s="150">
        <v>53103</v>
      </c>
      <c r="I38" s="150"/>
      <c r="J38" s="150"/>
      <c r="K38" s="150"/>
      <c r="L38" s="150"/>
      <c r="M38" s="150"/>
    </row>
    <row r="39" spans="2:13" ht="15" x14ac:dyDescent="0.15">
      <c r="B39" s="94" t="s">
        <v>17</v>
      </c>
      <c r="C39" s="217"/>
      <c r="D39" s="150">
        <v>8558</v>
      </c>
      <c r="E39" s="150">
        <v>5576</v>
      </c>
      <c r="F39" s="150">
        <v>7278</v>
      </c>
      <c r="G39" s="150">
        <v>1660</v>
      </c>
      <c r="H39" s="150">
        <v>0</v>
      </c>
      <c r="I39" s="150"/>
      <c r="J39" s="150"/>
      <c r="K39" s="150"/>
      <c r="L39" s="150"/>
      <c r="M39" s="150"/>
    </row>
    <row r="40" spans="2:13" ht="15" x14ac:dyDescent="0.15">
      <c r="B40" s="94" t="s">
        <v>18</v>
      </c>
      <c r="C40" s="217"/>
      <c r="D40" s="150">
        <v>1113</v>
      </c>
      <c r="E40" s="150">
        <v>5636</v>
      </c>
      <c r="F40" s="150">
        <v>9396</v>
      </c>
      <c r="G40" s="150">
        <v>131</v>
      </c>
      <c r="H40" s="150">
        <v>0</v>
      </c>
      <c r="I40" s="150"/>
      <c r="J40" s="150"/>
      <c r="K40" s="150"/>
      <c r="L40" s="150"/>
      <c r="M40" s="150"/>
    </row>
    <row r="41" spans="2:13" ht="15" x14ac:dyDescent="0.15">
      <c r="B41" s="94" t="s">
        <v>138</v>
      </c>
      <c r="C41" s="217"/>
      <c r="D41" s="150">
        <v>3674703</v>
      </c>
      <c r="E41" s="150">
        <v>4116261</v>
      </c>
      <c r="F41" s="150">
        <v>4043183</v>
      </c>
      <c r="G41" s="150">
        <v>3712318</v>
      </c>
      <c r="H41" s="150">
        <v>3595173</v>
      </c>
      <c r="I41" s="150"/>
      <c r="J41" s="150"/>
      <c r="K41" s="150"/>
      <c r="L41" s="150"/>
      <c r="M41" s="150"/>
    </row>
    <row r="42" spans="2:13" ht="15" x14ac:dyDescent="0.15">
      <c r="B42" s="94" t="s">
        <v>139</v>
      </c>
      <c r="C42" s="217"/>
      <c r="D42" s="150">
        <v>43262</v>
      </c>
      <c r="E42" s="150">
        <v>165622</v>
      </c>
      <c r="F42" s="150">
        <v>143504</v>
      </c>
      <c r="G42" s="150">
        <v>122753</v>
      </c>
      <c r="H42" s="150">
        <v>114637</v>
      </c>
      <c r="I42" s="150"/>
      <c r="J42" s="150"/>
      <c r="K42" s="150"/>
      <c r="L42" s="150"/>
      <c r="M42" s="150"/>
    </row>
    <row r="43" spans="2:13" ht="15" x14ac:dyDescent="0.15">
      <c r="B43" s="94" t="s">
        <v>137</v>
      </c>
      <c r="C43" s="217"/>
      <c r="D43" s="150">
        <v>1696980</v>
      </c>
      <c r="E43" s="150">
        <v>2130407</v>
      </c>
      <c r="F43" s="150">
        <v>2344902</v>
      </c>
      <c r="G43" s="150">
        <v>2164713</v>
      </c>
      <c r="H43" s="150">
        <v>2079261</v>
      </c>
      <c r="I43" s="150"/>
      <c r="J43" s="150"/>
      <c r="K43" s="150"/>
      <c r="L43" s="150"/>
      <c r="M43" s="150"/>
    </row>
    <row r="44" spans="2:13" ht="14" x14ac:dyDescent="0.15">
      <c r="B44" s="74" t="s">
        <v>208</v>
      </c>
      <c r="C44" s="250">
        <v>0.15820000000000001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4" x14ac:dyDescent="0.15">
      <c r="B45" s="74" t="s">
        <v>254</v>
      </c>
      <c r="C45" s="152">
        <f>IF(C44="","",C44*Exchange_Rate/Dashboard!$G$3)</f>
        <v>3.0481695568400771E-2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4" x14ac:dyDescent="0.15">
      <c r="B47" s="10" t="s">
        <v>250</v>
      </c>
      <c r="C47" s="194" t="s">
        <v>34</v>
      </c>
      <c r="D47" s="194" t="s">
        <v>197</v>
      </c>
      <c r="E47" s="111" t="s">
        <v>36</v>
      </c>
    </row>
    <row r="48" spans="2:13" ht="14" x14ac:dyDescent="0.15">
      <c r="B48" s="3" t="s">
        <v>38</v>
      </c>
      <c r="C48" s="59">
        <v>1322113</v>
      </c>
      <c r="D48" s="60">
        <v>0.9</v>
      </c>
      <c r="E48" s="112"/>
    </row>
    <row r="49" spans="2:5" ht="14" x14ac:dyDescent="0.15">
      <c r="B49" s="1" t="s">
        <v>136</v>
      </c>
      <c r="C49" s="59"/>
      <c r="D49" s="60">
        <v>0.8</v>
      </c>
      <c r="E49" s="112"/>
    </row>
    <row r="50" spans="2:5" ht="14" x14ac:dyDescent="0.15">
      <c r="B50" s="3" t="s">
        <v>117</v>
      </c>
      <c r="C50" s="59">
        <v>422018</v>
      </c>
      <c r="D50" s="60">
        <f>D51</f>
        <v>0.6</v>
      </c>
      <c r="E50" s="112"/>
    </row>
    <row r="51" spans="2:5" ht="14" x14ac:dyDescent="0.15">
      <c r="B51" s="3" t="s">
        <v>42</v>
      </c>
      <c r="C51" s="59">
        <v>221617</v>
      </c>
      <c r="D51" s="60">
        <v>0.6</v>
      </c>
      <c r="E51" s="112"/>
    </row>
    <row r="52" spans="2:5" ht="14" x14ac:dyDescent="0.15">
      <c r="B52" s="3" t="s">
        <v>44</v>
      </c>
      <c r="C52" s="59"/>
      <c r="D52" s="60">
        <v>0.5</v>
      </c>
      <c r="E52" s="112"/>
    </row>
    <row r="53" spans="2:5" ht="14" x14ac:dyDescent="0.15">
      <c r="B53" s="1" t="s">
        <v>159</v>
      </c>
      <c r="C53" s="59"/>
      <c r="D53" s="60">
        <f>D50</f>
        <v>0.6</v>
      </c>
      <c r="E53" s="112"/>
    </row>
    <row r="54" spans="2:5" ht="14" x14ac:dyDescent="0.15">
      <c r="B54" s="3" t="s">
        <v>118</v>
      </c>
      <c r="C54" s="59">
        <v>63587</v>
      </c>
      <c r="D54" s="60">
        <v>0.1</v>
      </c>
      <c r="E54" s="112"/>
    </row>
    <row r="55" spans="2:5" ht="14" x14ac:dyDescent="0.15">
      <c r="B55" s="3" t="s">
        <v>47</v>
      </c>
      <c r="C55" s="59">
        <v>370793</v>
      </c>
      <c r="D55" s="60">
        <f>D52</f>
        <v>0.5</v>
      </c>
      <c r="E55" s="112"/>
    </row>
    <row r="56" spans="2:5" ht="14" x14ac:dyDescent="0.15">
      <c r="B56" s="1" t="s">
        <v>48</v>
      </c>
      <c r="C56" s="59"/>
      <c r="D56" s="60">
        <f>D50</f>
        <v>0.6</v>
      </c>
      <c r="E56" s="221" t="s">
        <v>71</v>
      </c>
    </row>
    <row r="57" spans="2:5" ht="14" x14ac:dyDescent="0.15">
      <c r="B57" s="3" t="s">
        <v>120</v>
      </c>
      <c r="C57" s="59"/>
      <c r="D57" s="60">
        <v>0.6</v>
      </c>
      <c r="E57" s="221" t="s">
        <v>46</v>
      </c>
    </row>
    <row r="58" spans="2:5" ht="14" x14ac:dyDescent="0.15">
      <c r="B58" s="3" t="s">
        <v>50</v>
      </c>
      <c r="C58" s="59">
        <v>22411</v>
      </c>
      <c r="D58" s="60">
        <f>D48</f>
        <v>0.9</v>
      </c>
      <c r="E58" s="112"/>
    </row>
    <row r="59" spans="2:5" ht="14" x14ac:dyDescent="0.15">
      <c r="B59" s="35" t="s">
        <v>51</v>
      </c>
      <c r="C59" s="120"/>
      <c r="D59" s="195">
        <f>D70</f>
        <v>0.05</v>
      </c>
      <c r="E59" s="112"/>
    </row>
    <row r="60" spans="2:5" ht="14" x14ac:dyDescent="0.15">
      <c r="B60" s="3" t="s">
        <v>61</v>
      </c>
      <c r="C60" s="59"/>
      <c r="D60" s="60">
        <f>D49</f>
        <v>0.8</v>
      </c>
      <c r="E60" s="112"/>
    </row>
    <row r="61" spans="2:5" ht="14" x14ac:dyDescent="0.15">
      <c r="B61" s="3" t="s">
        <v>63</v>
      </c>
      <c r="C61" s="59">
        <v>39731</v>
      </c>
      <c r="D61" s="60">
        <f>D51</f>
        <v>0.6</v>
      </c>
      <c r="E61" s="112"/>
    </row>
    <row r="62" spans="2:5" ht="14" x14ac:dyDescent="0.15">
      <c r="B62" s="3" t="s">
        <v>65</v>
      </c>
      <c r="C62" s="59"/>
      <c r="D62" s="60">
        <f>D52</f>
        <v>0.5</v>
      </c>
      <c r="E62" s="112"/>
    </row>
    <row r="63" spans="2:5" ht="14" x14ac:dyDescent="0.15">
      <c r="B63" s="1" t="s">
        <v>160</v>
      </c>
      <c r="C63" s="59"/>
      <c r="D63" s="60">
        <f>D62</f>
        <v>0.5</v>
      </c>
      <c r="E63" s="112"/>
    </row>
    <row r="64" spans="2:5" ht="14" x14ac:dyDescent="0.15">
      <c r="B64" s="3" t="s">
        <v>68</v>
      </c>
      <c r="C64" s="59"/>
      <c r="D64" s="60">
        <v>0.4</v>
      </c>
      <c r="E64" s="112"/>
    </row>
    <row r="65" spans="2:5" ht="14" x14ac:dyDescent="0.15">
      <c r="B65" s="3" t="s">
        <v>70</v>
      </c>
      <c r="C65" s="59">
        <v>85171</v>
      </c>
      <c r="D65" s="60">
        <v>0.1</v>
      </c>
      <c r="E65" s="221" t="s">
        <v>71</v>
      </c>
    </row>
    <row r="66" spans="2:5" ht="14" x14ac:dyDescent="0.15">
      <c r="B66" s="3" t="s">
        <v>72</v>
      </c>
      <c r="C66" s="59"/>
      <c r="D66" s="60">
        <v>0.2</v>
      </c>
      <c r="E66" s="221" t="s">
        <v>71</v>
      </c>
    </row>
    <row r="67" spans="2:5" ht="14" x14ac:dyDescent="0.15">
      <c r="B67" s="1" t="s">
        <v>49</v>
      </c>
      <c r="C67" s="59"/>
      <c r="D67" s="60">
        <f>D65</f>
        <v>0.1</v>
      </c>
      <c r="E67" s="221" t="s">
        <v>46</v>
      </c>
    </row>
    <row r="68" spans="2:5" ht="14" x14ac:dyDescent="0.15">
      <c r="B68" s="3" t="s">
        <v>119</v>
      </c>
      <c r="C68" s="59">
        <v>1863998</v>
      </c>
      <c r="D68" s="60">
        <f>D65</f>
        <v>0.1</v>
      </c>
      <c r="E68" s="112"/>
    </row>
    <row r="69" spans="2:5" ht="14" x14ac:dyDescent="0.15">
      <c r="B69" s="3" t="s">
        <v>73</v>
      </c>
      <c r="C69" s="59"/>
      <c r="D69" s="60">
        <f>D70</f>
        <v>0.05</v>
      </c>
      <c r="E69" s="112"/>
    </row>
    <row r="70" spans="2:5" ht="14" x14ac:dyDescent="0.15">
      <c r="B70" s="3" t="s">
        <v>74</v>
      </c>
      <c r="C70" s="59">
        <v>23958</v>
      </c>
      <c r="D70" s="60">
        <v>0.05</v>
      </c>
      <c r="E70" s="112"/>
    </row>
    <row r="71" spans="2:5" ht="14" x14ac:dyDescent="0.15">
      <c r="B71" s="3" t="s">
        <v>75</v>
      </c>
      <c r="C71" s="59">
        <v>71331</v>
      </c>
      <c r="D71" s="60">
        <f>D58</f>
        <v>0.9</v>
      </c>
      <c r="E71" s="112"/>
    </row>
    <row r="72" spans="2:5" ht="15" thickBot="1" x14ac:dyDescent="0.2">
      <c r="B72" s="246" t="s">
        <v>76</v>
      </c>
      <c r="C72" s="247">
        <v>62618</v>
      </c>
      <c r="D72" s="248">
        <v>0</v>
      </c>
      <c r="E72" s="249"/>
    </row>
    <row r="73" spans="2:5" ht="14" x14ac:dyDescent="0.15">
      <c r="B73" s="3" t="s">
        <v>39</v>
      </c>
      <c r="C73" s="59"/>
    </row>
    <row r="74" spans="2:5" ht="14" x14ac:dyDescent="0.15">
      <c r="B74" s="3" t="s">
        <v>40</v>
      </c>
      <c r="C74" s="59">
        <v>5523</v>
      </c>
    </row>
    <row r="75" spans="2:5" ht="14" x14ac:dyDescent="0.15">
      <c r="B75" s="3" t="s">
        <v>41</v>
      </c>
      <c r="C75" s="59"/>
    </row>
    <row r="76" spans="2:5" ht="14" x14ac:dyDescent="0.15">
      <c r="B76" s="86" t="s">
        <v>43</v>
      </c>
      <c r="C76" s="120"/>
    </row>
    <row r="77" spans="2:5" ht="15" thickBot="1" x14ac:dyDescent="0.2">
      <c r="B77" s="80" t="s">
        <v>16</v>
      </c>
      <c r="C77" s="83">
        <v>803015</v>
      </c>
    </row>
    <row r="78" spans="2:5" ht="15" thickTop="1" x14ac:dyDescent="0.15">
      <c r="B78" s="3" t="s">
        <v>62</v>
      </c>
      <c r="C78" s="59"/>
    </row>
    <row r="79" spans="2:5" ht="14" x14ac:dyDescent="0.15">
      <c r="B79" s="3" t="s">
        <v>64</v>
      </c>
      <c r="C79" s="59">
        <v>2115</v>
      </c>
    </row>
    <row r="80" spans="2:5" ht="14" x14ac:dyDescent="0.15">
      <c r="B80" s="3" t="s">
        <v>66</v>
      </c>
      <c r="C80" s="59"/>
    </row>
    <row r="81" spans="2:8" ht="14" x14ac:dyDescent="0.15">
      <c r="B81" s="86" t="s">
        <v>67</v>
      </c>
      <c r="C81" s="120"/>
    </row>
    <row r="82" spans="2:8" ht="15" thickBot="1" x14ac:dyDescent="0.2">
      <c r="B82" s="80" t="s">
        <v>85</v>
      </c>
      <c r="C82" s="83">
        <v>100207</v>
      </c>
    </row>
    <row r="83" spans="2:8" ht="15" thickTop="1" x14ac:dyDescent="0.15">
      <c r="B83" s="73" t="s">
        <v>221</v>
      </c>
      <c r="C83" s="59">
        <v>3620511</v>
      </c>
    </row>
    <row r="84" spans="2:8" ht="14" x14ac:dyDescent="0.15">
      <c r="B84" s="20" t="s">
        <v>91</v>
      </c>
      <c r="C84" s="59"/>
    </row>
    <row r="85" spans="2:8" ht="14" x14ac:dyDescent="0.15">
      <c r="B85" s="20" t="s">
        <v>93</v>
      </c>
      <c r="C85" s="59"/>
    </row>
    <row r="86" spans="2:8" ht="14" x14ac:dyDescent="0.15">
      <c r="B86" s="10" t="s">
        <v>251</v>
      </c>
      <c r="C86" s="197">
        <v>5</v>
      </c>
    </row>
    <row r="87" spans="2:8" ht="14" x14ac:dyDescent="0.15">
      <c r="B87" s="10" t="s">
        <v>249</v>
      </c>
      <c r="C87" s="236" t="s">
        <v>252</v>
      </c>
      <c r="D87" s="269">
        <v>0.02</v>
      </c>
    </row>
    <row r="89" spans="2:8" ht="14" x14ac:dyDescent="0.1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4" x14ac:dyDescent="0.15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4" x14ac:dyDescent="0.15">
      <c r="B91" s="3" t="s">
        <v>127</v>
      </c>
      <c r="C91" s="77">
        <f>C25</f>
        <v>3833194</v>
      </c>
      <c r="D91" s="209"/>
      <c r="E91" s="251">
        <f>C91</f>
        <v>3833194</v>
      </c>
      <c r="F91" s="251">
        <f>C91</f>
        <v>3833194</v>
      </c>
    </row>
    <row r="92" spans="2:8" ht="14" x14ac:dyDescent="0.15">
      <c r="B92" s="104" t="s">
        <v>106</v>
      </c>
      <c r="C92" s="77">
        <f>C26</f>
        <v>2530133</v>
      </c>
      <c r="D92" s="159">
        <f>C92/C91</f>
        <v>0.66005868735054896</v>
      </c>
      <c r="E92" s="252">
        <f>E91*D92</f>
        <v>2530133</v>
      </c>
      <c r="F92" s="252">
        <f>F91*D92</f>
        <v>2530133</v>
      </c>
    </row>
    <row r="93" spans="2:8" ht="14" x14ac:dyDescent="0.15">
      <c r="B93" s="104" t="s">
        <v>248</v>
      </c>
      <c r="C93" s="77">
        <f>C27+C28</f>
        <v>829721</v>
      </c>
      <c r="D93" s="159">
        <f>C93/C91</f>
        <v>0.21645682425674254</v>
      </c>
      <c r="E93" s="252">
        <f>E91*D93</f>
        <v>829721</v>
      </c>
      <c r="F93" s="252">
        <f>F91*D93</f>
        <v>829721</v>
      </c>
    </row>
    <row r="94" spans="2:8" ht="14" x14ac:dyDescent="0.15">
      <c r="B94" s="104" t="s">
        <v>258</v>
      </c>
      <c r="C94" s="77">
        <f>C29</f>
        <v>270</v>
      </c>
      <c r="D94" s="159">
        <f>C94/C91</f>
        <v>7.0437342852983705E-5</v>
      </c>
      <c r="E94" s="253"/>
      <c r="F94" s="252">
        <f>F91*D94</f>
        <v>270</v>
      </c>
    </row>
    <row r="95" spans="2:8" ht="14" x14ac:dyDescent="0.15">
      <c r="B95" s="28" t="s">
        <v>247</v>
      </c>
      <c r="C95" s="77">
        <f>ABS(MAX(C33,0)-C32)</f>
        <v>281973</v>
      </c>
      <c r="D95" s="159">
        <f>C95/C91</f>
        <v>7.3560847689942116E-2</v>
      </c>
      <c r="E95" s="252">
        <f>E91*0.01</f>
        <v>38331.94</v>
      </c>
      <c r="F95" s="252">
        <f>F91*0</f>
        <v>0</v>
      </c>
    </row>
    <row r="96" spans="2:8" ht="14" x14ac:dyDescent="0.15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4" x14ac:dyDescent="0.15">
      <c r="B97" s="73" t="s">
        <v>173</v>
      </c>
      <c r="C97" s="77">
        <f>MAX(C30,0)/(1-C16)</f>
        <v>3760.2523659305994</v>
      </c>
      <c r="D97" s="159">
        <f>C97/C91</f>
        <v>9.8097105597332122E-4</v>
      </c>
      <c r="E97" s="253"/>
      <c r="F97" s="252">
        <f>F91*D97</f>
        <v>3760.2523659305989</v>
      </c>
    </row>
    <row r="98" spans="2:7" ht="14" x14ac:dyDescent="0.15">
      <c r="B98" s="86" t="s">
        <v>208</v>
      </c>
      <c r="C98" s="237">
        <f>C44</f>
        <v>0.15820000000000001</v>
      </c>
      <c r="D98" s="266"/>
      <c r="E98" s="254">
        <f>F98</f>
        <v>0.15820000000000001</v>
      </c>
      <c r="F98" s="254">
        <f>C98</f>
        <v>0.15820000000000001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E28" sqref="E28"/>
    </sheetView>
  </sheetViews>
  <sheetFormatPr baseColWidth="10" defaultColWidth="12.33203125" defaultRowHeight="15" customHeight="1" x14ac:dyDescent="0.15"/>
  <cols>
    <col min="1" max="1" width="2.33203125" style="1" customWidth="1"/>
    <col min="2" max="2" width="30.6640625" style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7"/>
      <c r="C1" s="87"/>
      <c r="D1" s="87"/>
      <c r="E1" s="87"/>
      <c r="F1" s="87"/>
      <c r="G1" s="87"/>
      <c r="H1" s="87"/>
    </row>
    <row r="2" spans="1:10" ht="15.75" customHeight="1" x14ac:dyDescent="0.2">
      <c r="A2" s="5"/>
      <c r="B2" s="6" t="s">
        <v>0</v>
      </c>
      <c r="C2" s="25" t="str">
        <f>C3&amp;" : "&amp;C4</f>
        <v>1475.HK : NISSIN FOODS</v>
      </c>
      <c r="D2" s="87"/>
      <c r="E2" s="7"/>
      <c r="F2" s="7"/>
      <c r="G2" s="86"/>
      <c r="H2" s="86"/>
    </row>
    <row r="3" spans="1:10" ht="15.75" customHeight="1" x14ac:dyDescent="0.15">
      <c r="B3" s="3" t="s">
        <v>195</v>
      </c>
      <c r="C3" s="277" t="str">
        <f>Inputs!C4</f>
        <v>1475.HK</v>
      </c>
      <c r="D3" s="278"/>
      <c r="E3" s="87"/>
      <c r="F3" s="3" t="s">
        <v>1</v>
      </c>
      <c r="G3" s="132">
        <v>5.19</v>
      </c>
      <c r="H3" s="134" t="s">
        <v>269</v>
      </c>
    </row>
    <row r="4" spans="1:10" ht="15.75" customHeight="1" x14ac:dyDescent="0.15">
      <c r="B4" s="35" t="s">
        <v>196</v>
      </c>
      <c r="C4" s="279" t="str">
        <f>Inputs!C5</f>
        <v>NISSIN FOODS</v>
      </c>
      <c r="D4" s="280"/>
      <c r="E4" s="87"/>
      <c r="F4" s="3" t="s">
        <v>3</v>
      </c>
      <c r="G4" s="283">
        <f>Inputs!C10</f>
        <v>1043691480</v>
      </c>
      <c r="H4" s="283"/>
      <c r="I4" s="39"/>
    </row>
    <row r="5" spans="1:10" ht="15.75" customHeight="1" x14ac:dyDescent="0.15">
      <c r="B5" s="3" t="s">
        <v>164</v>
      </c>
      <c r="C5" s="281">
        <f>Inputs!C6</f>
        <v>45591</v>
      </c>
      <c r="D5" s="282"/>
      <c r="E5" s="34"/>
      <c r="F5" s="35" t="s">
        <v>100</v>
      </c>
      <c r="G5" s="275">
        <f>G3*G4/1000000</f>
        <v>5416.7587812000011</v>
      </c>
      <c r="H5" s="275"/>
      <c r="I5" s="38"/>
      <c r="J5" s="28"/>
    </row>
    <row r="6" spans="1:10" ht="15.75" customHeight="1" x14ac:dyDescent="0.15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15">
      <c r="B7" s="86" t="s">
        <v>193</v>
      </c>
      <c r="C7" s="187" t="str">
        <f>Inputs!C8</f>
        <v xml:space="preserve">Superior Cycl. </v>
      </c>
      <c r="D7" s="187" t="str">
        <f>Inputs!C9</f>
        <v>C0002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15"/>
    <row r="9" spans="1:10" ht="15.75" customHeight="1" x14ac:dyDescent="0.15">
      <c r="B9" s="139" t="s">
        <v>191</v>
      </c>
      <c r="F9" s="143" t="s">
        <v>186</v>
      </c>
    </row>
    <row r="10" spans="1:10" ht="15.75" customHeight="1" x14ac:dyDescent="0.15">
      <c r="B10" s="1" t="s">
        <v>176</v>
      </c>
      <c r="C10" s="172">
        <v>4.2099999999999999E-2</v>
      </c>
      <c r="F10" s="110" t="s">
        <v>183</v>
      </c>
    </row>
    <row r="11" spans="1:10" ht="15.75" customHeight="1" thickBot="1" x14ac:dyDescent="0.2">
      <c r="B11" s="122" t="s">
        <v>180</v>
      </c>
      <c r="C11" s="173">
        <v>5.3099999999999994E-2</v>
      </c>
      <c r="D11" s="137" t="s">
        <v>190</v>
      </c>
      <c r="F11" s="110" t="s">
        <v>178</v>
      </c>
    </row>
    <row r="12" spans="1:10" ht="15.75" customHeight="1" thickTop="1" x14ac:dyDescent="0.15">
      <c r="B12" s="87" t="s">
        <v>255</v>
      </c>
      <c r="C12" s="174">
        <v>0.08</v>
      </c>
      <c r="D12" s="172">
        <v>8.5999999999999993E-2</v>
      </c>
      <c r="F12" s="110"/>
    </row>
    <row r="13" spans="1:10" ht="15.75" customHeight="1" x14ac:dyDescent="0.15"/>
    <row r="14" spans="1:10" ht="15.75" customHeight="1" x14ac:dyDescent="0.15">
      <c r="B14" s="1" t="s">
        <v>177</v>
      </c>
      <c r="C14" s="172">
        <v>2.1309999999999999E-2</v>
      </c>
      <c r="F14" s="110" t="s">
        <v>182</v>
      </c>
    </row>
    <row r="15" spans="1:10" ht="15.75" customHeight="1" x14ac:dyDescent="0.15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2">
      <c r="B16" s="122" t="s">
        <v>188</v>
      </c>
      <c r="C16" s="173">
        <v>0.16</v>
      </c>
      <c r="D16" s="265" t="str">
        <f>Inputs!C15</f>
        <v>CN</v>
      </c>
      <c r="F16" s="110" t="s">
        <v>179</v>
      </c>
    </row>
    <row r="17" spans="1:8" ht="15.75" customHeight="1" thickTop="1" x14ac:dyDescent="0.15">
      <c r="B17" s="87" t="s">
        <v>256</v>
      </c>
      <c r="C17" s="175">
        <v>9.1999999999999998E-2</v>
      </c>
      <c r="D17" s="176"/>
    </row>
    <row r="18" spans="1:8" ht="15.75" customHeight="1" x14ac:dyDescent="0.15"/>
    <row r="19" spans="1:8" ht="15.75" customHeight="1" x14ac:dyDescent="0.15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15">
      <c r="B20" s="137" t="s">
        <v>170</v>
      </c>
      <c r="C20" s="171">
        <f>Fin_Analysis!I75</f>
        <v>0.66005868735054896</v>
      </c>
      <c r="F20" s="87" t="s">
        <v>212</v>
      </c>
      <c r="G20" s="172">
        <v>0.15</v>
      </c>
    </row>
    <row r="21" spans="1:8" ht="15.75" customHeight="1" x14ac:dyDescent="0.15">
      <c r="B21" s="137" t="s">
        <v>245</v>
      </c>
      <c r="C21" s="171">
        <f>Fin_Analysis!I77</f>
        <v>0.21645682425674254</v>
      </c>
      <c r="F21" s="87"/>
      <c r="G21" s="29"/>
    </row>
    <row r="22" spans="1:8" ht="15.75" customHeight="1" x14ac:dyDescent="0.15">
      <c r="B22" s="137" t="s">
        <v>192</v>
      </c>
      <c r="C22" s="171">
        <f>Fin_Analysis!I78</f>
        <v>9.8097105597332122E-4</v>
      </c>
      <c r="F22" s="142" t="s">
        <v>185</v>
      </c>
    </row>
    <row r="23" spans="1:8" ht="15.75" customHeight="1" x14ac:dyDescent="0.15">
      <c r="B23" s="137" t="s">
        <v>172</v>
      </c>
      <c r="C23" s="171">
        <f>Fin_Analysis!I80</f>
        <v>0</v>
      </c>
      <c r="F23" s="140" t="s">
        <v>189</v>
      </c>
      <c r="G23" s="177">
        <f>G3/(Data!C36*Data!C4/Common_Shares*Exchange_Rate)</f>
        <v>1.4775165218634176</v>
      </c>
    </row>
    <row r="24" spans="1:8" ht="15.75" customHeight="1" x14ac:dyDescent="0.15">
      <c r="B24" s="137" t="s">
        <v>171</v>
      </c>
      <c r="C24" s="171">
        <f>Fin_Analysis!I81</f>
        <v>7.0437342852983705E-5</v>
      </c>
      <c r="F24" s="140" t="s">
        <v>260</v>
      </c>
      <c r="G24" s="268">
        <f>G3/(Fin_Analysis!H86*G7)</f>
        <v>14.563999336699531</v>
      </c>
    </row>
    <row r="25" spans="1:8" ht="15.75" customHeight="1" x14ac:dyDescent="0.15">
      <c r="B25" s="137" t="s">
        <v>244</v>
      </c>
      <c r="C25" s="171">
        <f>Fin_Analysis!I82</f>
        <v>0</v>
      </c>
      <c r="F25" s="140" t="s">
        <v>175</v>
      </c>
      <c r="G25" s="171">
        <f>Fin_Analysis!I88</f>
        <v>0.44393539403966586</v>
      </c>
    </row>
    <row r="26" spans="1:8" ht="15.75" customHeight="1" x14ac:dyDescent="0.15">
      <c r="B26" s="138" t="s">
        <v>174</v>
      </c>
      <c r="C26" s="171">
        <f>Fin_Analysis!I83</f>
        <v>0.12243307999388223</v>
      </c>
      <c r="F26" s="141" t="s">
        <v>194</v>
      </c>
      <c r="G26" s="178">
        <f>Fin_Analysis!H88*Exchange_Rate/G3</f>
        <v>3.0481695568400771E-2</v>
      </c>
    </row>
    <row r="27" spans="1:8" ht="15.75" customHeight="1" x14ac:dyDescent="0.15"/>
    <row r="28" spans="1:8" ht="15.75" customHeight="1" x14ac:dyDescent="0.15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15">
      <c r="B29" s="87" t="s">
        <v>169</v>
      </c>
      <c r="C29" s="130">
        <f>IF(Fin_Analysis!C108="Profit",Fin_Analysis!D100,IF(Fin_Analysis!C108="Dividend",Fin_Analysis!D103,Fin_Analysis!D106))</f>
        <v>3.5872234053754544</v>
      </c>
      <c r="D29" s="129">
        <f>G29*(1+G20)</f>
        <v>6.3228116428691763</v>
      </c>
      <c r="E29" s="87"/>
      <c r="F29" s="131">
        <f>IF(Fin_Analysis!C108="Profit",Fin_Analysis!F100,IF(Fin_Analysis!C108="Dividend",Fin_Analysis!F103,Fin_Analysis!F106))</f>
        <v>4.2202628298534757</v>
      </c>
      <c r="G29" s="274">
        <f>IF(Fin_Analysis!C108="Profit",Fin_Analysis!I100,IF(Fin_Analysis!C108="Dividend",Fin_Analysis!I103,Fin_Analysis!I106))</f>
        <v>5.4980970807558061</v>
      </c>
      <c r="H29" s="274"/>
    </row>
    <row r="30" spans="1:8" ht="15.75" customHeight="1" x14ac:dyDescent="0.15"/>
    <row r="31" spans="1:8" ht="15.75" customHeight="1" x14ac:dyDescent="0.2">
      <c r="A31" s="5"/>
      <c r="B31" s="6" t="s">
        <v>223</v>
      </c>
      <c r="C31"/>
    </row>
    <row r="32" spans="1:8" ht="15.75" customHeight="1" x14ac:dyDescent="0.15">
      <c r="A32"/>
      <c r="B32" s="196" t="s">
        <v>224</v>
      </c>
      <c r="C32" s="224"/>
    </row>
    <row r="33" spans="1:3" ht="15.75" customHeight="1" x14ac:dyDescent="0.15">
      <c r="A33"/>
      <c r="B33" s="20" t="s">
        <v>225</v>
      </c>
      <c r="C33" s="245" t="str">
        <f>Inputs!C17</f>
        <v>Strongly agree</v>
      </c>
    </row>
    <row r="34" spans="1:3" ht="15.75" customHeight="1" x14ac:dyDescent="0.15">
      <c r="A34"/>
      <c r="B34" s="19" t="s">
        <v>226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15">
      <c r="A35"/>
      <c r="B35" s="196" t="s">
        <v>227</v>
      </c>
      <c r="C35" s="224"/>
    </row>
    <row r="36" spans="1:3" ht="15.75" customHeight="1" x14ac:dyDescent="0.15">
      <c r="A36"/>
      <c r="B36" s="20" t="s">
        <v>239</v>
      </c>
      <c r="C36" s="245" t="str">
        <f>Inputs!C18</f>
        <v>unclear</v>
      </c>
    </row>
    <row r="37" spans="1:3" ht="15.75" customHeight="1" x14ac:dyDescent="0.15">
      <c r="A37"/>
      <c r="B37" s="20" t="s">
        <v>240</v>
      </c>
      <c r="C37" s="245" t="str">
        <f>Inputs!C19</f>
        <v>agree</v>
      </c>
    </row>
    <row r="38" spans="1:3" ht="15.75" customHeight="1" x14ac:dyDescent="0.15">
      <c r="A38"/>
      <c r="B38" s="196" t="s">
        <v>228</v>
      </c>
      <c r="C38" s="224"/>
    </row>
    <row r="39" spans="1:3" ht="15.75" customHeight="1" x14ac:dyDescent="0.15">
      <c r="A39"/>
      <c r="B39" s="19" t="s">
        <v>229</v>
      </c>
      <c r="C39" s="245" t="str">
        <f>Inputs!C20</f>
        <v>agree</v>
      </c>
    </row>
    <row r="40" spans="1:3" ht="15.75" customHeight="1" x14ac:dyDescent="0.15">
      <c r="A40"/>
      <c r="B40" s="1" t="s">
        <v>232</v>
      </c>
      <c r="C40" s="245" t="str">
        <f>Inputs!C21</f>
        <v>Strongly agree</v>
      </c>
    </row>
    <row r="41" spans="1:3" ht="15.75" customHeight="1" x14ac:dyDescent="0.15">
      <c r="A41"/>
      <c r="B41"/>
      <c r="C41"/>
    </row>
    <row r="42" spans="1:3" ht="15.75" customHeight="1" x14ac:dyDescent="0.2">
      <c r="A42" s="5"/>
      <c r="B42" s="6" t="s">
        <v>230</v>
      </c>
      <c r="C42"/>
    </row>
    <row r="43" spans="1:3" ht="70" x14ac:dyDescent="0.15">
      <c r="A43"/>
      <c r="B43" s="226" t="s">
        <v>231</v>
      </c>
      <c r="C43" s="244" t="str">
        <f>Inputs!C22</f>
        <v>Consumer Monopoly</v>
      </c>
    </row>
    <row r="44" spans="1:3" ht="15.75" customHeight="1" x14ac:dyDescent="0.15"/>
    <row r="45" spans="1:3" ht="15.75" customHeight="1" x14ac:dyDescent="0.15"/>
    <row r="46" spans="1:3" ht="15.75" customHeight="1" x14ac:dyDescent="0.15"/>
    <row r="47" spans="1:3" ht="15.75" customHeight="1" x14ac:dyDescent="0.15"/>
    <row r="48" spans="1:3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J6" sqref="J6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15">
      <c r="A3" s="4"/>
      <c r="B3" s="103" t="s">
        <v>10</v>
      </c>
      <c r="C3" s="201">
        <f>Inputs!C12</f>
        <v>45291</v>
      </c>
      <c r="E3" s="146" t="s">
        <v>201</v>
      </c>
      <c r="F3" s="85">
        <f>H14</f>
        <v>253090.17350157729</v>
      </c>
      <c r="G3" s="85">
        <f>C14</f>
        <v>469579.74763406941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15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>
        <f>(G3/F3)^(1/H3)-1</f>
        <v>0.10850846122502222</v>
      </c>
      <c r="J4" s="87"/>
    </row>
    <row r="5" spans="1:14" ht="15.75" customHeight="1" x14ac:dyDescent="0.15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94" t="s">
        <v>12</v>
      </c>
      <c r="C6" s="200">
        <f>IF(Inputs!C25=""," ",Inputs!C25)</f>
        <v>3833194</v>
      </c>
      <c r="D6" s="200">
        <f>IF(Inputs!D25="","",Inputs!D25)</f>
        <v>4067732</v>
      </c>
      <c r="E6" s="200">
        <f>IF(Inputs!E25="","",Inputs!E25)</f>
        <v>3866335</v>
      </c>
      <c r="F6" s="200">
        <f>IF(Inputs!F25="","",Inputs!F25)</f>
        <v>3518847</v>
      </c>
      <c r="G6" s="200">
        <f>IF(Inputs!G25="","",Inputs!G25)</f>
        <v>3087781</v>
      </c>
      <c r="H6" s="200">
        <f>IF(Inputs!H25="","",Inputs!H25)</f>
        <v>2998828</v>
      </c>
      <c r="I6" s="200">
        <f>IF(Inputs!I25="","",Inputs!I25)</f>
        <v>2902271</v>
      </c>
      <c r="J6" s="200">
        <f>IF(Inputs!J25="","",Inputs!J25)</f>
        <v>2629905</v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15">
      <c r="A7" s="4"/>
      <c r="B7" s="96" t="s">
        <v>13</v>
      </c>
      <c r="C7" s="92">
        <f t="shared" ref="C7:M7" si="1">IF(D6="","",C6/D6-1)</f>
        <v>-5.7658174137332541E-2</v>
      </c>
      <c r="D7" s="92">
        <f t="shared" si="1"/>
        <v>5.2089899090482339E-2</v>
      </c>
      <c r="E7" s="92">
        <f t="shared" si="1"/>
        <v>9.8750528227001588E-2</v>
      </c>
      <c r="F7" s="92">
        <f t="shared" si="1"/>
        <v>0.13960381257608612</v>
      </c>
      <c r="G7" s="92">
        <f t="shared" si="1"/>
        <v>2.9662588184450778E-2</v>
      </c>
      <c r="H7" s="92">
        <f t="shared" si="1"/>
        <v>3.3269463809547872E-2</v>
      </c>
      <c r="I7" s="92">
        <f t="shared" si="1"/>
        <v>0.10356495766957363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15">
      <c r="A8" s="4"/>
      <c r="B8" s="97" t="s">
        <v>106</v>
      </c>
      <c r="C8" s="199">
        <f>IF(Inputs!C26="","",Inputs!C26)</f>
        <v>2530133</v>
      </c>
      <c r="D8" s="199">
        <f>IF(Inputs!D26="","",Inputs!D26)</f>
        <v>2764937</v>
      </c>
      <c r="E8" s="199">
        <f>IF(Inputs!E26="","",Inputs!E26)</f>
        <v>2639016</v>
      </c>
      <c r="F8" s="199">
        <f>IF(Inputs!F26="","",Inputs!F26)</f>
        <v>2360170</v>
      </c>
      <c r="G8" s="199">
        <f>IF(Inputs!G26="","",Inputs!G26)</f>
        <v>2074351</v>
      </c>
      <c r="H8" s="199">
        <f>IF(Inputs!H26="","",Inputs!H26)</f>
        <v>2065429</v>
      </c>
      <c r="I8" s="199">
        <f>IF(Inputs!I26="","",Inputs!I26)</f>
        <v>1867706</v>
      </c>
      <c r="J8" s="199">
        <f>IF(Inputs!J26="","",Inputs!J26)</f>
        <v>1588722</v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15">
      <c r="A9" s="4"/>
      <c r="B9" s="98" t="s">
        <v>103</v>
      </c>
      <c r="C9" s="151">
        <f t="shared" ref="C9:M9" si="2">IF(C6="","",(C6-C8))</f>
        <v>1303061</v>
      </c>
      <c r="D9" s="151">
        <f t="shared" si="2"/>
        <v>1302795</v>
      </c>
      <c r="E9" s="151">
        <f t="shared" si="2"/>
        <v>1227319</v>
      </c>
      <c r="F9" s="151">
        <f t="shared" si="2"/>
        <v>1158677</v>
      </c>
      <c r="G9" s="151">
        <f t="shared" si="2"/>
        <v>1013430</v>
      </c>
      <c r="H9" s="151">
        <f t="shared" si="2"/>
        <v>933399</v>
      </c>
      <c r="I9" s="151">
        <f t="shared" si="2"/>
        <v>1034565</v>
      </c>
      <c r="J9" s="151">
        <f t="shared" si="2"/>
        <v>1041183</v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15">
      <c r="A10" s="4"/>
      <c r="B10" s="97" t="s">
        <v>104</v>
      </c>
      <c r="C10" s="199">
        <f>IF(Inputs!C27="","",Inputs!C27)</f>
        <v>829721</v>
      </c>
      <c r="D10" s="199">
        <f>IF(Inputs!D27="","",Inputs!D27)</f>
        <v>842779</v>
      </c>
      <c r="E10" s="199">
        <f>IF(Inputs!E27="","",Inputs!E27)</f>
        <v>769862</v>
      </c>
      <c r="F10" s="199">
        <f>IF(Inputs!F27="","",Inputs!F27)</f>
        <v>714686</v>
      </c>
      <c r="G10" s="199">
        <f>IF(Inputs!G27="","",Inputs!G27)</f>
        <v>676867</v>
      </c>
      <c r="H10" s="199">
        <f>IF(Inputs!H27="","",Inputs!H27)</f>
        <v>648594</v>
      </c>
      <c r="I10" s="199">
        <f>IF(Inputs!I27="","",Inputs!I27)</f>
        <v>767003</v>
      </c>
      <c r="J10" s="199">
        <f>IF(Inputs!J27="","",Inputs!J27)</f>
        <v>750812</v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15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15">
      <c r="A12" s="4"/>
      <c r="B12" s="99" t="s">
        <v>241</v>
      </c>
      <c r="C12" s="199">
        <f>IF(Inputs!C30="","",MAX(Inputs!C30,0)/(1-Fin_Analysis!$I$84))</f>
        <v>3760.2523659305994</v>
      </c>
      <c r="D12" s="199">
        <f>IF(Inputs!D30="","",MAX(Inputs!D30,0)/(1-Fin_Analysis!$I$84))</f>
        <v>38025.236593059941</v>
      </c>
      <c r="E12" s="199">
        <f>IF(Inputs!E30="","",MAX(Inputs!E30,0)/(1-Fin_Analysis!$I$84))</f>
        <v>44686.435331230285</v>
      </c>
      <c r="F12" s="199">
        <f>IF(Inputs!F30="","",MAX(Inputs!F30,0)/(1-Fin_Analysis!$I$84))</f>
        <v>38677.602523659305</v>
      </c>
      <c r="G12" s="199">
        <f>IF(Inputs!G30="","",MAX(Inputs!G30,0)/(1-Fin_Analysis!$I$84))</f>
        <v>35273.186119873819</v>
      </c>
      <c r="H12" s="199">
        <f>IF(Inputs!H30="","",MAX(Inputs!H30,0)/(1-Fin_Analysis!$I$84))</f>
        <v>31714.826498422713</v>
      </c>
      <c r="I12" s="199">
        <f>IF(Inputs!I30="","",MAX(Inputs!I30,0)/(1-Fin_Analysis!$I$84))</f>
        <v>31668.13880126183</v>
      </c>
      <c r="J12" s="199">
        <f>IF(Inputs!J30="","",MAX(Inputs!J30,0)/(1-Fin_Analysis!$I$84))</f>
        <v>20681.388012618296</v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15">
      <c r="A13" s="4"/>
      <c r="B13" s="228" t="s">
        <v>242</v>
      </c>
      <c r="C13" s="229">
        <f t="shared" ref="C13:M13" si="3">IF(C14="","",C14/C6)</f>
        <v>0.12250351733673522</v>
      </c>
      <c r="D13" s="229">
        <f t="shared" si="3"/>
        <v>0.10374104375778445</v>
      </c>
      <c r="E13" s="229">
        <f t="shared" si="3"/>
        <v>0.10676016554922678</v>
      </c>
      <c r="F13" s="229">
        <f t="shared" si="3"/>
        <v>0.11518358072298703</v>
      </c>
      <c r="G13" s="229">
        <f t="shared" si="3"/>
        <v>9.7574864888451018E-2</v>
      </c>
      <c r="H13" s="229">
        <f t="shared" si="3"/>
        <v>8.4396362012618686E-2</v>
      </c>
      <c r="I13" s="229">
        <f t="shared" si="3"/>
        <v>8.1279060845364945E-2</v>
      </c>
      <c r="J13" s="229">
        <f t="shared" si="3"/>
        <v>0.1025472828818462</v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15">
      <c r="A14" s="4"/>
      <c r="B14" s="228" t="s">
        <v>234</v>
      </c>
      <c r="C14" s="230">
        <f>IF(C6="","",C9-C10-MAX(C11,0)-MAX(C12,0))</f>
        <v>469579.74763406941</v>
      </c>
      <c r="D14" s="230">
        <f t="shared" ref="D14:M14" si="4">IF(D6="","",D9-D10-MAX(D11,0)-MAX(D12,0))</f>
        <v>421990.76340694004</v>
      </c>
      <c r="E14" s="230">
        <f t="shared" si="4"/>
        <v>412770.56466876972</v>
      </c>
      <c r="F14" s="230">
        <f t="shared" si="4"/>
        <v>405313.3974763407</v>
      </c>
      <c r="G14" s="230">
        <f t="shared" si="4"/>
        <v>301289.81388012617</v>
      </c>
      <c r="H14" s="230">
        <f t="shared" si="4"/>
        <v>253090.17350157729</v>
      </c>
      <c r="I14" s="230">
        <f t="shared" si="4"/>
        <v>235893.86119873816</v>
      </c>
      <c r="J14" s="230">
        <f t="shared" si="4"/>
        <v>269689.61198738171</v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15">
      <c r="A15" s="4"/>
      <c r="B15" s="231" t="s">
        <v>243</v>
      </c>
      <c r="C15" s="232">
        <f>IF(D14="","",IF(ABS(C14+D14)=ABS(C14)+ABS(D14),IF(C14&lt;0,-1,1)*(C14-D14)/D14,"Turn"))</f>
        <v>0.11277257313150643</v>
      </c>
      <c r="D15" s="232">
        <f t="shared" ref="D15:M15" si="5">IF(E14="","",IF(ABS(D14+E14)=ABS(D14)+ABS(E14),IF(D14&lt;0,-1,1)*(D14-E14)/E14,"Turn"))</f>
        <v>2.2337345555560939E-2</v>
      </c>
      <c r="E15" s="232">
        <f t="shared" si="5"/>
        <v>1.8398521338945647E-2</v>
      </c>
      <c r="F15" s="232">
        <f t="shared" si="5"/>
        <v>0.34526087110798337</v>
      </c>
      <c r="G15" s="232">
        <f t="shared" si="5"/>
        <v>0.19044453489320673</v>
      </c>
      <c r="H15" s="232">
        <f t="shared" si="5"/>
        <v>7.2898515524960655E-2</v>
      </c>
      <c r="I15" s="232">
        <f t="shared" si="5"/>
        <v>-0.12531350592111345</v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15">
      <c r="A16" s="4"/>
      <c r="B16" s="97" t="s">
        <v>110</v>
      </c>
      <c r="C16" s="199">
        <f>IF(Inputs!C31="","",Inputs!C31)</f>
        <v>-212109</v>
      </c>
      <c r="D16" s="199">
        <f>IF(Inputs!D31="","",Inputs!D31)</f>
        <v>-63909</v>
      </c>
      <c r="E16" s="199">
        <f>IF(Inputs!E31="","",Inputs!E31)</f>
        <v>-85212</v>
      </c>
      <c r="F16" s="199">
        <f>IF(Inputs!F31="","",Inputs!F31)</f>
        <v>-137953</v>
      </c>
      <c r="G16" s="199">
        <f>IF(Inputs!G31="","",Inputs!G31)</f>
        <v>-184857</v>
      </c>
      <c r="H16" s="199">
        <f>IF(Inputs!H31="","",Inputs!H31)</f>
        <v>-59025</v>
      </c>
      <c r="I16" s="199">
        <f>IF(Inputs!I31="","",Inputs!I31)</f>
        <v>-13114</v>
      </c>
      <c r="J16" s="199">
        <f>IF(Inputs!J31="","",Inputs!J31)</f>
        <v>-55207</v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15">
      <c r="A17" s="4"/>
      <c r="B17" s="97" t="s">
        <v>258</v>
      </c>
      <c r="C17" s="199">
        <f>IF(Inputs!C29="","",Inputs!C29)</f>
        <v>270</v>
      </c>
      <c r="D17" s="199">
        <f>IF(Inputs!D29="","",Inputs!D29)</f>
        <v>259</v>
      </c>
      <c r="E17" s="199">
        <f>IF(Inputs!E29="","",Inputs!E29)</f>
        <v>365</v>
      </c>
      <c r="F17" s="199">
        <f>IF(Inputs!F29="","",Inputs!F29)</f>
        <v>116</v>
      </c>
      <c r="G17" s="199">
        <f>IF(Inputs!G29="","",Inputs!G29)</f>
        <v>64</v>
      </c>
      <c r="H17" s="199">
        <f>IF(Inputs!H29="","",Inputs!H29)</f>
        <v>0</v>
      </c>
      <c r="I17" s="199">
        <f>IF(Inputs!I29="","",Inputs!I29)</f>
        <v>0</v>
      </c>
      <c r="J17" s="199">
        <f>IF(Inputs!J29="","",Inputs!J29)</f>
        <v>0</v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15">
      <c r="A18" s="4"/>
      <c r="B18" s="94" t="s">
        <v>99</v>
      </c>
      <c r="C18" s="152">
        <f t="shared" ref="C18:M18" si="6">IF(OR(C6="",C19=""),"",C19/C6)</f>
        <v>1.2424886400218721E-2</v>
      </c>
      <c r="D18" s="152">
        <f t="shared" si="6"/>
        <v>1.1287125110503839E-2</v>
      </c>
      <c r="E18" s="152">
        <f t="shared" si="6"/>
        <v>1.3080346115895286E-2</v>
      </c>
      <c r="F18" s="152">
        <f t="shared" si="6"/>
        <v>1.0390619427329464E-2</v>
      </c>
      <c r="G18" s="152">
        <f t="shared" si="6"/>
        <v>7.5050659356994554E-3</v>
      </c>
      <c r="H18" s="152">
        <f t="shared" si="6"/>
        <v>5.8856326538234268E-3</v>
      </c>
      <c r="I18" s="152">
        <f t="shared" si="6"/>
        <v>6.9300902637968679E-3</v>
      </c>
      <c r="J18" s="152">
        <f t="shared" si="6"/>
        <v>8.2200687857546181E-3</v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15">
      <c r="A19" s="4"/>
      <c r="B19" s="97" t="s">
        <v>105</v>
      </c>
      <c r="C19" s="199">
        <f>IF(Inputs!C32="","",Inputs!C32)</f>
        <v>47627</v>
      </c>
      <c r="D19" s="199">
        <f>IF(Inputs!D32="","",Inputs!D32)</f>
        <v>45913</v>
      </c>
      <c r="E19" s="199">
        <f>IF(Inputs!E32="","",Inputs!E32)</f>
        <v>50573</v>
      </c>
      <c r="F19" s="199">
        <f>IF(Inputs!F32="","",Inputs!F32)</f>
        <v>36563</v>
      </c>
      <c r="G19" s="199">
        <f>IF(Inputs!G32="","",Inputs!G32)</f>
        <v>23174</v>
      </c>
      <c r="H19" s="199">
        <f>IF(Inputs!H32="","",Inputs!H32)</f>
        <v>17650</v>
      </c>
      <c r="I19" s="199">
        <f>IF(Inputs!I32="","",Inputs!I32)</f>
        <v>20113</v>
      </c>
      <c r="J19" s="199">
        <f>IF(Inputs!J32="","",Inputs!J32)</f>
        <v>21618</v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15">
      <c r="A20" s="4"/>
      <c r="B20" s="97" t="s">
        <v>236</v>
      </c>
      <c r="C20" s="152">
        <f t="shared" ref="C20:M20" si="7">IF(C6="","",MAX(C21,0)/C6)</f>
        <v>8.5985734090160845E-2</v>
      </c>
      <c r="D20" s="152">
        <f t="shared" si="7"/>
        <v>0.15586080892251505</v>
      </c>
      <c r="E20" s="152">
        <f t="shared" si="7"/>
        <v>8.1705284203257095E-2</v>
      </c>
      <c r="F20" s="152">
        <f t="shared" si="7"/>
        <v>7.3802583630376659E-2</v>
      </c>
      <c r="G20" s="152">
        <f t="shared" si="7"/>
        <v>9.1845891920443845E-2</v>
      </c>
      <c r="H20" s="152">
        <f t="shared" si="7"/>
        <v>7.1794714468452342E-2</v>
      </c>
      <c r="I20" s="152">
        <f t="shared" si="7"/>
        <v>8.9481650748672328E-2</v>
      </c>
      <c r="J20" s="152">
        <f t="shared" si="7"/>
        <v>0.17780109927925153</v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15">
      <c r="A21" s="4"/>
      <c r="B21" s="97" t="s">
        <v>108</v>
      </c>
      <c r="C21" s="199">
        <f>IF(Inputs!C33="","",Inputs!C33)</f>
        <v>329600</v>
      </c>
      <c r="D21" s="199">
        <f>IF(Inputs!D33="","",Inputs!D33)</f>
        <v>634000</v>
      </c>
      <c r="E21" s="199">
        <f>IF(Inputs!E33="","",Inputs!E33)</f>
        <v>315900</v>
      </c>
      <c r="F21" s="199">
        <f>IF(Inputs!F33="","",Inputs!F33)</f>
        <v>259700</v>
      </c>
      <c r="G21" s="199">
        <f>IF(Inputs!G33="","",Inputs!G33)</f>
        <v>283600</v>
      </c>
      <c r="H21" s="199">
        <f>IF(Inputs!H33="","",Inputs!H33)</f>
        <v>215300</v>
      </c>
      <c r="I21" s="199">
        <f>IF(Inputs!I33="","",Inputs!I33)</f>
        <v>259700</v>
      </c>
      <c r="J21" s="199">
        <f>IF(Inputs!J33="","",Inputs!J33)</f>
        <v>467600</v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15">
      <c r="A22" s="4"/>
      <c r="B22" s="98" t="s">
        <v>112</v>
      </c>
      <c r="C22" s="161">
        <f>IF(C6="","",C14-MAX(C16,0)-MAX(C17,0)-ABS(MAX(C21,0)-MAX(C19,0)))</f>
        <v>187336.74763406941</v>
      </c>
      <c r="D22" s="161">
        <f t="shared" ref="D22:M22" si="8">IF(D6="","",D14-MAX(D16,0)-MAX(D17,0)-ABS(MAX(D21,0)-MAX(D19,0)))</f>
        <v>-166355.23659305996</v>
      </c>
      <c r="E22" s="161">
        <f t="shared" si="8"/>
        <v>147078.56466876972</v>
      </c>
      <c r="F22" s="161">
        <f t="shared" si="8"/>
        <v>182060.3974763407</v>
      </c>
      <c r="G22" s="161">
        <f t="shared" si="8"/>
        <v>40799.813880126167</v>
      </c>
      <c r="H22" s="161">
        <f t="shared" si="8"/>
        <v>55440.173501577287</v>
      </c>
      <c r="I22" s="161">
        <f t="shared" si="8"/>
        <v>-3693.1388012618409</v>
      </c>
      <c r="J22" s="161">
        <f t="shared" si="8"/>
        <v>-176292.38801261829</v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15">
      <c r="A23" s="4"/>
      <c r="B23" s="100" t="s">
        <v>113</v>
      </c>
      <c r="C23" s="153">
        <f t="shared" ref="C23:M23" si="9">IF(C6="","",C24/C6)</f>
        <v>3.8731244100872537E-2</v>
      </c>
      <c r="D23" s="153">
        <f t="shared" si="9"/>
        <v>-3.2410327179863377E-2</v>
      </c>
      <c r="E23" s="153">
        <f t="shared" si="9"/>
        <v>3.0147352078906769E-2</v>
      </c>
      <c r="F23" s="153">
        <f t="shared" si="9"/>
        <v>4.1002881057346341E-2</v>
      </c>
      <c r="G23" s="153">
        <f t="shared" si="9"/>
        <v>1.047154979579186E-2</v>
      </c>
      <c r="H23" s="153">
        <f t="shared" si="9"/>
        <v>1.4651169556906899E-2</v>
      </c>
      <c r="I23" s="153">
        <f t="shared" si="9"/>
        <v>-1.0084559643120882E-3</v>
      </c>
      <c r="J23" s="153">
        <f t="shared" si="9"/>
        <v>-5.3124244982233199E-2</v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15">
      <c r="A24" s="4"/>
      <c r="B24" s="101" t="s">
        <v>114</v>
      </c>
      <c r="C24" s="154">
        <f>IF(C6="","",C22*(1-Fin_Analysis!$I$84))</f>
        <v>148464.3725</v>
      </c>
      <c r="D24" s="77">
        <f>IF(D6="","",D22*(1-Fin_Analysis!$I$84))</f>
        <v>-131836.52500000002</v>
      </c>
      <c r="E24" s="77">
        <f>IF(E6="","",E22*(1-Fin_Analysis!$I$84))</f>
        <v>116559.7625</v>
      </c>
      <c r="F24" s="77">
        <f>IF(F6="","",F22*(1-Fin_Analysis!$I$84))</f>
        <v>144282.86499999999</v>
      </c>
      <c r="G24" s="77">
        <f>IF(G6="","",G22*(1-Fin_Analysis!$I$84))</f>
        <v>32333.852499999986</v>
      </c>
      <c r="H24" s="77">
        <f>IF(H6="","",H22*(1-Fin_Analysis!$I$84))</f>
        <v>43936.337500000001</v>
      </c>
      <c r="I24" s="77">
        <f>IF(I6="","",I22*(1-Fin_Analysis!$I$84))</f>
        <v>-2926.8125000000086</v>
      </c>
      <c r="J24" s="77">
        <f>IF(J6="","",J22*(1-Fin_Analysis!$I$84))</f>
        <v>-139711.7175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2">
      <c r="A25" s="4"/>
      <c r="B25" s="234" t="s">
        <v>129</v>
      </c>
      <c r="C25" s="233" t="str">
        <f>IF(D24="","",IF(ABS(C24+D24)=ABS(C24)+ABS(D24),IF(C24&lt;0,-1,1)*(C24-D24)/D24,"Turn"))</f>
        <v>Turn</v>
      </c>
      <c r="D25" s="233" t="str">
        <f t="shared" ref="D25:M25" si="10">IF(E24="","",IF(ABS(D24+E24)=ABS(D24)+ABS(E24),IF(D24&lt;0,-1,1)*(D24-E24)/E24,"Turn"))</f>
        <v>Turn</v>
      </c>
      <c r="E25" s="233">
        <f t="shared" si="10"/>
        <v>-0.19214410872697874</v>
      </c>
      <c r="F25" s="233">
        <f t="shared" si="10"/>
        <v>3.4622849999083796</v>
      </c>
      <c r="G25" s="233">
        <f t="shared" si="10"/>
        <v>-0.26407492431520979</v>
      </c>
      <c r="H25" s="233" t="str">
        <f t="shared" si="10"/>
        <v>Turn</v>
      </c>
      <c r="I25" s="233">
        <f t="shared" si="10"/>
        <v>0.979051059192655</v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15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15">
      <c r="A27" s="4"/>
      <c r="B27" s="94" t="s">
        <v>14</v>
      </c>
      <c r="C27" s="65">
        <f>IF(C36="","",C36+C31+C32)</f>
        <v>4569346</v>
      </c>
      <c r="D27" s="65">
        <f t="shared" ref="D27:M27" si="20">IF(D36="","",D36+D31+D32)</f>
        <v>4683733</v>
      </c>
      <c r="E27" s="65">
        <f t="shared" si="20"/>
        <v>5259569</v>
      </c>
      <c r="F27" s="65">
        <f t="shared" si="20"/>
        <v>5183875</v>
      </c>
      <c r="G27" s="65">
        <f t="shared" si="20"/>
        <v>4633930</v>
      </c>
      <c r="H27" s="65">
        <f t="shared" si="20"/>
        <v>4444372</v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15">
      <c r="A28" s="4"/>
      <c r="B28" s="94" t="s">
        <v>15</v>
      </c>
      <c r="C28" s="65">
        <f>Fin_Analysis!C28</f>
        <v>2422539</v>
      </c>
      <c r="D28" s="199">
        <f>IF(Inputs!D34="","",Inputs!D34)</f>
        <v>2504156</v>
      </c>
      <c r="E28" s="199">
        <f>IF(Inputs!E34="","",Inputs!E34)</f>
        <v>3108899</v>
      </c>
      <c r="F28" s="199">
        <f>IF(Inputs!F34="","",Inputs!F34)</f>
        <v>3296593</v>
      </c>
      <c r="G28" s="199">
        <f>IF(Inputs!G34="","",Inputs!G34)</f>
        <v>2995218</v>
      </c>
      <c r="H28" s="199">
        <f>IF(Inputs!H34="","",Inputs!H34)</f>
        <v>2922746</v>
      </c>
      <c r="I28" s="199">
        <f>IF(Inputs!I34="","",Inputs!I34)</f>
        <v>2928529</v>
      </c>
      <c r="J28" s="199">
        <f>IF(Inputs!J34="","",Inputs!J34)</f>
        <v>2035257</v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15">
      <c r="A29" s="4"/>
      <c r="B29" s="94" t="s">
        <v>117</v>
      </c>
      <c r="C29" s="65">
        <f>Fin_Analysis!C13</f>
        <v>422018</v>
      </c>
      <c r="D29" s="199">
        <f>IF(Inputs!D35="","",Inputs!D35)</f>
        <v>372854</v>
      </c>
      <c r="E29" s="199">
        <f>IF(Inputs!E35="","",Inputs!E35)</f>
        <v>475382</v>
      </c>
      <c r="F29" s="199">
        <f>IF(Inputs!F35="","",Inputs!F35)</f>
        <v>508545</v>
      </c>
      <c r="G29" s="199">
        <f>IF(Inputs!G35="","",Inputs!G35)</f>
        <v>421056</v>
      </c>
      <c r="H29" s="199">
        <f>IF(Inputs!H35="","",Inputs!H35)</f>
        <v>449932</v>
      </c>
      <c r="I29" s="199">
        <f>IF(Inputs!I35="","",Inputs!I35)</f>
        <v>420626</v>
      </c>
      <c r="J29" s="199">
        <f>IF(Inputs!J35="","",Inputs!J35)</f>
        <v>296371</v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15">
      <c r="A30" s="4"/>
      <c r="B30" s="94" t="s">
        <v>149</v>
      </c>
      <c r="C30" s="65">
        <f>Fin_Analysis!C18</f>
        <v>370793</v>
      </c>
      <c r="D30" s="199">
        <f>IF(Inputs!D36="","",Inputs!D36)</f>
        <v>415015</v>
      </c>
      <c r="E30" s="199">
        <f>IF(Inputs!E36="","",Inputs!E36)</f>
        <v>464999</v>
      </c>
      <c r="F30" s="199">
        <f>IF(Inputs!F36="","",Inputs!F36)</f>
        <v>363144</v>
      </c>
      <c r="G30" s="199">
        <f>IF(Inputs!G36="","",Inputs!G36)</f>
        <v>326593</v>
      </c>
      <c r="H30" s="199">
        <f>IF(Inputs!H36="","",Inputs!H36)</f>
        <v>294086</v>
      </c>
      <c r="I30" s="199">
        <f>IF(Inputs!I36="","",Inputs!I36)</f>
        <v>290728</v>
      </c>
      <c r="J30" s="199">
        <f>IF(Inputs!J36="","",Inputs!J36)</f>
        <v>215131</v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15">
      <c r="A31" s="4"/>
      <c r="B31" s="94" t="s">
        <v>16</v>
      </c>
      <c r="C31" s="65">
        <f>Fin_Analysis!I28</f>
        <v>803015</v>
      </c>
      <c r="D31" s="199">
        <f>IF(Inputs!D37="","",Inputs!D37)</f>
        <v>896185</v>
      </c>
      <c r="E31" s="199">
        <f>IF(Inputs!E37="","",Inputs!E37)</f>
        <v>1060434</v>
      </c>
      <c r="F31" s="199">
        <f>IF(Inputs!F37="","",Inputs!F37)</f>
        <v>1065331</v>
      </c>
      <c r="G31" s="199">
        <f>IF(Inputs!G37="","",Inputs!G37)</f>
        <v>859227</v>
      </c>
      <c r="H31" s="199">
        <f>IF(Inputs!H37="","",Inputs!H37)</f>
        <v>796096</v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15">
      <c r="A32" s="4"/>
      <c r="B32" s="94" t="s">
        <v>116</v>
      </c>
      <c r="C32" s="65">
        <f>Fin_Analysis!I48</f>
        <v>100207</v>
      </c>
      <c r="D32" s="199">
        <f>IF(Inputs!D38="","",Inputs!D38)</f>
        <v>112845</v>
      </c>
      <c r="E32" s="199">
        <f>IF(Inputs!E38="","",Inputs!E38)</f>
        <v>82874</v>
      </c>
      <c r="F32" s="199">
        <f>IF(Inputs!F38="","",Inputs!F38)</f>
        <v>75361</v>
      </c>
      <c r="G32" s="199">
        <f>IF(Inputs!G38="","",Inputs!G38)</f>
        <v>62385</v>
      </c>
      <c r="H32" s="199">
        <f>IF(Inputs!H38="","",Inputs!H38)</f>
        <v>53103</v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15">
      <c r="A33" s="4"/>
      <c r="B33" s="94" t="s">
        <v>17</v>
      </c>
      <c r="C33" s="65">
        <f>Fin_Analysis!I15</f>
        <v>5523</v>
      </c>
      <c r="D33" s="199">
        <f>IF(Inputs!D39="","",Inputs!D39)</f>
        <v>8558</v>
      </c>
      <c r="E33" s="199">
        <f>IF(Inputs!E39="","",Inputs!E39)</f>
        <v>5576</v>
      </c>
      <c r="F33" s="199">
        <f>IF(Inputs!F39="","",Inputs!F39)</f>
        <v>7278</v>
      </c>
      <c r="G33" s="199">
        <f>IF(Inputs!G39="","",Inputs!G39)</f>
        <v>1660</v>
      </c>
      <c r="H33" s="199">
        <f>IF(Inputs!H39="","",Inputs!H39)</f>
        <v>0</v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15">
      <c r="A34" s="4"/>
      <c r="B34" s="94" t="s">
        <v>18</v>
      </c>
      <c r="C34" s="65">
        <f>Fin_Analysis!I34</f>
        <v>2115</v>
      </c>
      <c r="D34" s="199">
        <f>IF(Inputs!D40="","",Inputs!D40)</f>
        <v>1113</v>
      </c>
      <c r="E34" s="199">
        <f>IF(Inputs!E40="","",Inputs!E40)</f>
        <v>5636</v>
      </c>
      <c r="F34" s="199">
        <f>IF(Inputs!F40="","",Inputs!F40)</f>
        <v>9396</v>
      </c>
      <c r="G34" s="199">
        <f>IF(Inputs!G40="","",Inputs!G40)</f>
        <v>131</v>
      </c>
      <c r="H34" s="199">
        <f>IF(Inputs!H40="","",Inputs!H40)</f>
        <v>0</v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15">
      <c r="A35" s="4"/>
      <c r="B35" s="94" t="s">
        <v>19</v>
      </c>
      <c r="C35" s="77">
        <f t="shared" ref="C35" si="21">IF(OR(C33="",C34=""),"",C33+C34)</f>
        <v>7638</v>
      </c>
      <c r="D35" s="77">
        <f t="shared" ref="D35" si="22">IF(OR(D33="",D34=""),"",D33+D34)</f>
        <v>9671</v>
      </c>
      <c r="E35" s="77">
        <f t="shared" ref="E35" si="23">IF(OR(E33="",E34=""),"",E33+E34)</f>
        <v>11212</v>
      </c>
      <c r="F35" s="77">
        <f t="shared" ref="F35" si="24">IF(OR(F33="",F34=""),"",F33+F34)</f>
        <v>16674</v>
      </c>
      <c r="G35" s="77">
        <f t="shared" ref="G35" si="25">IF(OR(G33="",G34=""),"",G33+G34)</f>
        <v>1791</v>
      </c>
      <c r="H35" s="77">
        <f t="shared" ref="H35" si="26">IF(OR(H33="",H34=""),"",H33+H34)</f>
        <v>0</v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15">
      <c r="A36" s="4"/>
      <c r="B36" s="94" t="s">
        <v>138</v>
      </c>
      <c r="C36" s="65">
        <f>Fin_Analysis!D3</f>
        <v>3666124</v>
      </c>
      <c r="D36" s="199">
        <f>IF(Inputs!D41="","",Inputs!D41)</f>
        <v>3674703</v>
      </c>
      <c r="E36" s="199">
        <f>IF(Inputs!E41="","",Inputs!E41)</f>
        <v>4116261</v>
      </c>
      <c r="F36" s="199">
        <f>IF(Inputs!F41="","",Inputs!F41)</f>
        <v>4043183</v>
      </c>
      <c r="G36" s="199">
        <f>IF(Inputs!G41="","",Inputs!G41)</f>
        <v>3712318</v>
      </c>
      <c r="H36" s="199">
        <f>IF(Inputs!H41="","",Inputs!H41)</f>
        <v>3595173</v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15">
      <c r="A37" s="4"/>
      <c r="B37" s="94" t="s">
        <v>139</v>
      </c>
      <c r="C37" s="65">
        <f>Fin_Analysis!D4</f>
        <v>45613</v>
      </c>
      <c r="D37" s="199">
        <f>IF(Inputs!D42="","",Inputs!D42)</f>
        <v>43262</v>
      </c>
      <c r="E37" s="199">
        <f>IF(Inputs!E42="","",Inputs!E42)</f>
        <v>165622</v>
      </c>
      <c r="F37" s="199">
        <f>IF(Inputs!F42="","",Inputs!F42)</f>
        <v>143504</v>
      </c>
      <c r="G37" s="199">
        <f>IF(Inputs!G42="","",Inputs!G42)</f>
        <v>122753</v>
      </c>
      <c r="H37" s="199">
        <f>IF(Inputs!H42="","",Inputs!H42)</f>
        <v>114637</v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15">
      <c r="A38" s="4"/>
      <c r="B38" s="94" t="s">
        <v>137</v>
      </c>
      <c r="C38" s="65">
        <f>Fin_Analysis!C63</f>
        <v>1668632</v>
      </c>
      <c r="D38" s="199">
        <f>IF(Inputs!D43="","",Inputs!D43)</f>
        <v>1696980</v>
      </c>
      <c r="E38" s="199">
        <f>IF(Inputs!E43="","",Inputs!E43)</f>
        <v>2130407</v>
      </c>
      <c r="F38" s="199">
        <f>IF(Inputs!F43="","",Inputs!F43)</f>
        <v>2344902</v>
      </c>
      <c r="G38" s="199">
        <f>IF(Inputs!G43="","",Inputs!G43)</f>
        <v>2164713</v>
      </c>
      <c r="H38" s="199">
        <f>IF(Inputs!H43="","",Inputs!H43)</f>
        <v>2079261</v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15">
      <c r="A39" s="4"/>
      <c r="B39" s="94" t="s">
        <v>141</v>
      </c>
      <c r="C39" s="65">
        <f>Fin_Analysis!C68</f>
        <v>2900714</v>
      </c>
      <c r="D39" s="65">
        <f>IF(D38="","",D27-D38)</f>
        <v>2986753</v>
      </c>
      <c r="E39" s="65">
        <f t="shared" ref="E39:M39" si="32">IF(E38="","",E27-E38)</f>
        <v>3129162</v>
      </c>
      <c r="F39" s="65">
        <f t="shared" si="32"/>
        <v>2838973</v>
      </c>
      <c r="G39" s="65">
        <f t="shared" si="32"/>
        <v>2469217</v>
      </c>
      <c r="H39" s="65">
        <f t="shared" si="32"/>
        <v>2365111</v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15">
      <c r="A40" s="4"/>
      <c r="B40" s="98" t="s">
        <v>158</v>
      </c>
      <c r="C40" s="155">
        <f>IF(C6="","",C14/MAX(C39,0))</f>
        <v>0.1618841939033181</v>
      </c>
      <c r="D40" s="155">
        <f>IF(D6="","",D14/MAX(D39,0))</f>
        <v>0.1412874661570408</v>
      </c>
      <c r="E40" s="155">
        <f>IF(E6="","",E14/MAX(E39,0))</f>
        <v>0.1319108964856309</v>
      </c>
      <c r="F40" s="155">
        <f t="shared" ref="F40:M40" si="33">IF(F39="","",F14/F39)</f>
        <v>0.14276761261073659</v>
      </c>
      <c r="G40" s="155">
        <f t="shared" si="33"/>
        <v>0.12201836204761517</v>
      </c>
      <c r="H40" s="155">
        <f t="shared" si="33"/>
        <v>0.10700985006690057</v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15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15">
      <c r="A42" s="4"/>
      <c r="B42" s="95" t="s">
        <v>98</v>
      </c>
      <c r="C42" s="156">
        <f t="shared" ref="C42:M42" si="34">IF(C6="","",C8/C6)</f>
        <v>0.66005868735054896</v>
      </c>
      <c r="D42" s="156">
        <f t="shared" si="34"/>
        <v>0.67972447545708514</v>
      </c>
      <c r="E42" s="156">
        <f t="shared" si="34"/>
        <v>0.68256268533378506</v>
      </c>
      <c r="F42" s="156">
        <f t="shared" si="34"/>
        <v>0.67072254065038917</v>
      </c>
      <c r="G42" s="156">
        <f t="shared" si="34"/>
        <v>0.67179343353689913</v>
      </c>
      <c r="H42" s="156">
        <f t="shared" si="34"/>
        <v>0.68874540320418509</v>
      </c>
      <c r="I42" s="156">
        <f t="shared" si="34"/>
        <v>0.64353259912668392</v>
      </c>
      <c r="J42" s="156">
        <f t="shared" si="34"/>
        <v>0.60409862713672169</v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15">
      <c r="A43" s="4"/>
      <c r="B43" s="94" t="s">
        <v>235</v>
      </c>
      <c r="C43" s="153">
        <f t="shared" ref="C43:M43" si="35">IF(C6="","",(C10+MAX(C11,0))/C6)</f>
        <v>0.21645682425674254</v>
      </c>
      <c r="D43" s="153">
        <f t="shared" si="35"/>
        <v>0.20718646164496579</v>
      </c>
      <c r="E43" s="153">
        <f t="shared" si="35"/>
        <v>0.19911932101072463</v>
      </c>
      <c r="F43" s="153">
        <f t="shared" si="35"/>
        <v>0.2031023230052344</v>
      </c>
      <c r="G43" s="153">
        <f t="shared" si="35"/>
        <v>0.21920822752649879</v>
      </c>
      <c r="H43" s="153">
        <f t="shared" si="35"/>
        <v>0.21628249436113042</v>
      </c>
      <c r="I43" s="153">
        <f t="shared" si="35"/>
        <v>0.26427683700109328</v>
      </c>
      <c r="J43" s="153">
        <f t="shared" si="35"/>
        <v>0.28549016029096108</v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15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>
        <f t="shared" si="36"/>
        <v>0</v>
      </c>
      <c r="J44" s="153">
        <f t="shared" si="36"/>
        <v>0</v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15">
      <c r="A45" s="4"/>
      <c r="B45" s="94" t="s">
        <v>122</v>
      </c>
      <c r="C45" s="153">
        <f t="shared" ref="C45:M45" si="37">IF(C6="","",MAX(C17,0)/C6)</f>
        <v>7.0437342852983705E-5</v>
      </c>
      <c r="D45" s="153">
        <f t="shared" si="37"/>
        <v>6.3671844654465925E-5</v>
      </c>
      <c r="E45" s="153">
        <f t="shared" si="37"/>
        <v>9.440464936432048E-5</v>
      </c>
      <c r="F45" s="153">
        <f t="shared" si="37"/>
        <v>3.2965343477565238E-5</v>
      </c>
      <c r="G45" s="153">
        <f t="shared" si="37"/>
        <v>2.0726858543400585E-5</v>
      </c>
      <c r="H45" s="153">
        <f t="shared" si="37"/>
        <v>0</v>
      </c>
      <c r="I45" s="153">
        <f t="shared" si="37"/>
        <v>0</v>
      </c>
      <c r="J45" s="153">
        <f t="shared" si="37"/>
        <v>0</v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15">
      <c r="A46" s="4"/>
      <c r="B46" s="94" t="s">
        <v>130</v>
      </c>
      <c r="C46" s="153">
        <f>IF(C6="","",MAX(C12,0)/C6)</f>
        <v>9.8097105597332122E-4</v>
      </c>
      <c r="D46" s="153">
        <f t="shared" ref="D46:M46" si="38">IF(D6="","",MAX(D12,0)/D6)</f>
        <v>9.3480191401645787E-3</v>
      </c>
      <c r="E46" s="153">
        <f t="shared" si="38"/>
        <v>1.1557828106263499E-2</v>
      </c>
      <c r="F46" s="153">
        <f t="shared" si="38"/>
        <v>1.0991555621389423E-2</v>
      </c>
      <c r="G46" s="153">
        <f t="shared" si="38"/>
        <v>1.1423474048151024E-2</v>
      </c>
      <c r="H46" s="153">
        <f t="shared" si="38"/>
        <v>1.0575740422065792E-2</v>
      </c>
      <c r="I46" s="153">
        <f t="shared" si="38"/>
        <v>1.0911503026857875E-2</v>
      </c>
      <c r="J46" s="153">
        <f t="shared" si="38"/>
        <v>7.8639296904710609E-3</v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15">
      <c r="A47" s="4"/>
      <c r="B47" s="94" t="s">
        <v>237</v>
      </c>
      <c r="C47" s="153">
        <f>IF(C6="","",ABS(MAX(C21,0)-MAX(C19,0))/C6)</f>
        <v>7.3560847689942116E-2</v>
      </c>
      <c r="D47" s="153">
        <f t="shared" ref="D47:M47" si="39">IF(D6="","",ABS(MAX(D21,0)-MAX(D19,0))/D6)</f>
        <v>0.14457368381201122</v>
      </c>
      <c r="E47" s="153">
        <f t="shared" si="39"/>
        <v>6.8624938087361809E-2</v>
      </c>
      <c r="F47" s="153">
        <f t="shared" si="39"/>
        <v>6.3411964203047191E-2</v>
      </c>
      <c r="G47" s="153">
        <f t="shared" si="39"/>
        <v>8.4340825984744378E-2</v>
      </c>
      <c r="H47" s="153">
        <f t="shared" si="39"/>
        <v>6.5909081814628914E-2</v>
      </c>
      <c r="I47" s="153">
        <f t="shared" si="39"/>
        <v>8.2551560484875469E-2</v>
      </c>
      <c r="J47" s="153">
        <f t="shared" si="39"/>
        <v>0.1695810304934969</v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15">
      <c r="A48" s="4"/>
      <c r="B48" s="94" t="s">
        <v>124</v>
      </c>
      <c r="C48" s="153">
        <f t="shared" ref="C48:M48" si="40">IF(C6="","",C22/C6)</f>
        <v>4.8872232303940111E-2</v>
      </c>
      <c r="D48" s="153">
        <f t="shared" si="40"/>
        <v>-4.0896311898881238E-2</v>
      </c>
      <c r="E48" s="153">
        <f t="shared" si="40"/>
        <v>3.8040822812500652E-2</v>
      </c>
      <c r="F48" s="153">
        <f t="shared" si="40"/>
        <v>5.1738651176462265E-2</v>
      </c>
      <c r="G48" s="153">
        <f t="shared" si="40"/>
        <v>1.321331204516323E-2</v>
      </c>
      <c r="H48" s="153">
        <f t="shared" si="40"/>
        <v>1.8487280197989776E-2</v>
      </c>
      <c r="I48" s="153">
        <f t="shared" si="40"/>
        <v>-1.2724996395105214E-3</v>
      </c>
      <c r="J48" s="153">
        <f t="shared" si="40"/>
        <v>-6.7033747611650721E-2</v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15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15">
      <c r="A50" s="4"/>
      <c r="B50" s="95" t="s">
        <v>147</v>
      </c>
      <c r="C50" s="156">
        <f t="shared" ref="C50:M50" si="41">IF(C29="","",C29/C6)</f>
        <v>0.11009565391159436</v>
      </c>
      <c r="D50" s="156">
        <f t="shared" si="41"/>
        <v>9.1661397555197838E-2</v>
      </c>
      <c r="E50" s="156">
        <f t="shared" si="41"/>
        <v>0.12295416718934081</v>
      </c>
      <c r="F50" s="156">
        <f t="shared" si="41"/>
        <v>0.1445203499896415</v>
      </c>
      <c r="G50" s="156">
        <f t="shared" si="41"/>
        <v>0.13636200235703244</v>
      </c>
      <c r="H50" s="156">
        <f t="shared" si="41"/>
        <v>0.1500359473767752</v>
      </c>
      <c r="I50" s="156">
        <f t="shared" si="41"/>
        <v>0.14492995312980766</v>
      </c>
      <c r="J50" s="156">
        <f t="shared" si="41"/>
        <v>0.11269266380344538</v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15">
      <c r="A51" s="4"/>
      <c r="B51" s="94" t="s">
        <v>148</v>
      </c>
      <c r="C51" s="153">
        <f t="shared" ref="C51:M51" si="42">IF(C30="","",C30/C6)</f>
        <v>9.6732124698097721E-2</v>
      </c>
      <c r="D51" s="153">
        <f t="shared" si="42"/>
        <v>0.10202614134854508</v>
      </c>
      <c r="E51" s="153">
        <f t="shared" si="42"/>
        <v>0.12026867821851961</v>
      </c>
      <c r="F51" s="153">
        <f t="shared" si="42"/>
        <v>0.10319971286049096</v>
      </c>
      <c r="G51" s="153">
        <f t="shared" si="42"/>
        <v>0.10576948300413792</v>
      </c>
      <c r="H51" s="153">
        <f t="shared" si="42"/>
        <v>9.8066978166136909E-2</v>
      </c>
      <c r="I51" s="153">
        <f t="shared" si="42"/>
        <v>0.10017258898290339</v>
      </c>
      <c r="J51" s="153">
        <f t="shared" si="42"/>
        <v>8.1801814133970613E-2</v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15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5" t="s">
        <v>20</v>
      </c>
      <c r="C53" s="156">
        <f>IF(C36="","",(C27-C36)/C27)</f>
        <v>0.19766986347718032</v>
      </c>
      <c r="D53" s="156">
        <f t="shared" ref="D53:M53" si="43">IF(D36="","",(D27-D36)/D27)</f>
        <v>0.21543286092524916</v>
      </c>
      <c r="E53" s="156">
        <f t="shared" si="43"/>
        <v>0.21737674703003232</v>
      </c>
      <c r="F53" s="156">
        <f t="shared" si="43"/>
        <v>0.22004620095970678</v>
      </c>
      <c r="G53" s="156">
        <f t="shared" si="43"/>
        <v>0.19888345313804912</v>
      </c>
      <c r="H53" s="156">
        <f t="shared" si="43"/>
        <v>0.19107288948809867</v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15">
      <c r="A54" s="4"/>
      <c r="B54" s="94" t="s">
        <v>121</v>
      </c>
      <c r="C54" s="157">
        <f t="shared" ref="C54:M54" si="44">IF(OR(C22="",C35=""),"",IF(C35&lt;=0,"-",C22/C35))</f>
        <v>24.526937370263081</v>
      </c>
      <c r="D54" s="157">
        <f t="shared" si="44"/>
        <v>-17.20145141071864</v>
      </c>
      <c r="E54" s="157">
        <f t="shared" si="44"/>
        <v>13.117959745698334</v>
      </c>
      <c r="F54" s="157">
        <f t="shared" si="44"/>
        <v>10.918819567970536</v>
      </c>
      <c r="G54" s="157">
        <f t="shared" si="44"/>
        <v>22.780465594710311</v>
      </c>
      <c r="H54" s="157" t="str">
        <f t="shared" si="44"/>
        <v>-</v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15">
      <c r="A55" s="4"/>
      <c r="B55" s="94" t="s">
        <v>123</v>
      </c>
      <c r="C55" s="153">
        <f t="shared" ref="C55:M55" si="45">IF(C22="","",IF(MAX(C17,0)&lt;=0,"-",C17/C22))</f>
        <v>1.4412548707603233E-3</v>
      </c>
      <c r="D55" s="153">
        <f t="shared" si="45"/>
        <v>-1.5569092100994012E-3</v>
      </c>
      <c r="E55" s="153">
        <f t="shared" si="45"/>
        <v>2.4816668616667779E-3</v>
      </c>
      <c r="F55" s="153">
        <f t="shared" si="45"/>
        <v>6.3715119602040062E-4</v>
      </c>
      <c r="G55" s="153">
        <f t="shared" si="45"/>
        <v>1.5686346067175269E-3</v>
      </c>
      <c r="H55" s="153" t="str">
        <f t="shared" si="45"/>
        <v>-</v>
      </c>
      <c r="I55" s="153" t="str">
        <f t="shared" si="45"/>
        <v>-</v>
      </c>
      <c r="J55" s="153" t="str">
        <f t="shared" si="45"/>
        <v>-</v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15">
      <c r="A56" s="4"/>
      <c r="B56" s="98" t="s">
        <v>21</v>
      </c>
      <c r="C56" s="158">
        <f t="shared" ref="C56:M56" si="46">IF(C28="","",C28/C31)</f>
        <v>3.0168041692869996</v>
      </c>
      <c r="D56" s="158">
        <f t="shared" si="46"/>
        <v>2.7942400285655307</v>
      </c>
      <c r="E56" s="158">
        <f t="shared" si="46"/>
        <v>2.9317232378441278</v>
      </c>
      <c r="F56" s="158">
        <f t="shared" si="46"/>
        <v>3.0944307449985029</v>
      </c>
      <c r="G56" s="158">
        <f t="shared" si="46"/>
        <v>3.4859449249150689</v>
      </c>
      <c r="H56" s="158">
        <f t="shared" si="46"/>
        <v>3.6713486815660423</v>
      </c>
      <c r="I56" s="158" t="e">
        <f t="shared" si="46"/>
        <v>#VALUE!</v>
      </c>
      <c r="J56" s="158" t="e">
        <f t="shared" si="46"/>
        <v>#VALUE!</v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15"/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64" zoomScaleNormal="100" workbookViewId="0">
      <selection activeCell="F100" sqref="F100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15">
      <c r="B3" s="3" t="s">
        <v>23</v>
      </c>
      <c r="C3" s="87"/>
      <c r="D3" s="116">
        <f>C49-I49</f>
        <v>3666124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3620511</v>
      </c>
      <c r="K3" s="24"/>
    </row>
    <row r="4" spans="1:11" ht="15" customHeight="1" x14ac:dyDescent="0.15">
      <c r="B4" s="3" t="s">
        <v>25</v>
      </c>
      <c r="C4" s="87"/>
      <c r="D4" s="65">
        <f>D3-I3</f>
        <v>45613</v>
      </c>
      <c r="E4" s="37"/>
      <c r="F4" s="87"/>
      <c r="G4" s="87"/>
      <c r="H4" s="21"/>
      <c r="I4" s="54"/>
      <c r="K4" s="24"/>
    </row>
    <row r="5" spans="1:11" ht="15" customHeight="1" x14ac:dyDescent="0.15">
      <c r="C5" s="87"/>
      <c r="D5" s="87"/>
      <c r="E5" s="11" t="s">
        <v>26</v>
      </c>
      <c r="H5" s="1" t="s">
        <v>28</v>
      </c>
      <c r="I5" s="63">
        <f>C28/I28</f>
        <v>3.0168041692869996</v>
      </c>
      <c r="K5" s="24"/>
    </row>
    <row r="6" spans="1:11" ht="15" customHeight="1" thickBot="1" x14ac:dyDescent="0.2">
      <c r="B6" s="20" t="s">
        <v>27</v>
      </c>
      <c r="C6" s="87"/>
      <c r="D6" s="69">
        <f>(E49-I49-E53)*Exchange_Rate</f>
        <v>1101543.1388882438</v>
      </c>
      <c r="E6" s="56">
        <f>1-D6/D3</f>
        <v>0.69953467507148037</v>
      </c>
      <c r="F6" s="87"/>
      <c r="G6" s="87"/>
      <c r="H6" s="1" t="s">
        <v>30</v>
      </c>
      <c r="I6" s="63">
        <f>(C24+C25)/I28</f>
        <v>2.527144573887163</v>
      </c>
      <c r="J6" s="87"/>
      <c r="K6" s="24"/>
    </row>
    <row r="7" spans="1:11" ht="15" customHeight="1" thickTop="1" x14ac:dyDescent="0.15">
      <c r="B7" s="19" t="s">
        <v>29</v>
      </c>
      <c r="C7" s="87"/>
      <c r="D7" s="66">
        <f>MAX((D6*Exchange_Rate*Data!C4)/Common_Shares, 0)</f>
        <v>1.0554298468434791</v>
      </c>
      <c r="E7" s="11" t="str">
        <f>Dashboard!H3</f>
        <v>HKD</v>
      </c>
      <c r="H7" s="1" t="s">
        <v>31</v>
      </c>
      <c r="I7" s="63">
        <f>C24/I28</f>
        <v>2.447959253563134</v>
      </c>
      <c r="J7" s="87"/>
      <c r="K7" s="33"/>
    </row>
    <row r="8" spans="1:11" ht="15" customHeight="1" x14ac:dyDescent="0.15">
      <c r="C8" s="87"/>
      <c r="D8" s="87"/>
      <c r="E8" s="87"/>
      <c r="K8" s="24"/>
    </row>
    <row r="9" spans="1:11" ht="15" customHeight="1" x14ac:dyDescent="0.2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15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15">
      <c r="B11" s="3" t="s">
        <v>38</v>
      </c>
      <c r="C11" s="40">
        <f>Inputs!C48</f>
        <v>1322113</v>
      </c>
      <c r="D11" s="198">
        <f>Inputs!D48</f>
        <v>0.9</v>
      </c>
      <c r="E11" s="88">
        <f t="shared" ref="E11:E22" si="0">C11*D11</f>
        <v>1189901.7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4" x14ac:dyDescent="0.15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5523</v>
      </c>
      <c r="J12" s="87"/>
      <c r="K12" s="24"/>
    </row>
    <row r="13" spans="1:11" ht="14" x14ac:dyDescent="0.15">
      <c r="B13" s="3" t="s">
        <v>117</v>
      </c>
      <c r="C13" s="40">
        <f>Inputs!C50</f>
        <v>422018</v>
      </c>
      <c r="D13" s="198">
        <f>Inputs!D50</f>
        <v>0.6</v>
      </c>
      <c r="E13" s="88">
        <f t="shared" si="0"/>
        <v>253210.8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4" x14ac:dyDescent="0.15">
      <c r="B14" s="3" t="s">
        <v>42</v>
      </c>
      <c r="C14" s="40">
        <f>Inputs!C51</f>
        <v>221617</v>
      </c>
      <c r="D14" s="198">
        <f>Inputs!D51</f>
        <v>0.6</v>
      </c>
      <c r="E14" s="88">
        <f t="shared" si="0"/>
        <v>132970.19999999998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4" x14ac:dyDescent="0.15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5523</v>
      </c>
      <c r="J15" s="87"/>
    </row>
    <row r="16" spans="1:11" ht="14" x14ac:dyDescent="0.15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4" x14ac:dyDescent="0.15">
      <c r="B17" s="3" t="s">
        <v>118</v>
      </c>
      <c r="C17" s="40">
        <f>Inputs!C54</f>
        <v>63587</v>
      </c>
      <c r="D17" s="198">
        <f>Inputs!D54</f>
        <v>0.1</v>
      </c>
      <c r="E17" s="88">
        <f t="shared" si="0"/>
        <v>6358.7000000000007</v>
      </c>
      <c r="F17" s="112"/>
      <c r="G17" s="87"/>
      <c r="H17" s="3"/>
      <c r="I17" s="40"/>
      <c r="J17" s="87"/>
    </row>
    <row r="18" spans="2:10" ht="14" x14ac:dyDescent="0.15">
      <c r="B18" s="3" t="s">
        <v>47</v>
      </c>
      <c r="C18" s="40">
        <f>Inputs!C55</f>
        <v>370793</v>
      </c>
      <c r="D18" s="198">
        <f>Inputs!D55</f>
        <v>0.5</v>
      </c>
      <c r="E18" s="88">
        <f t="shared" si="0"/>
        <v>185396.5</v>
      </c>
      <c r="F18" s="112"/>
      <c r="G18" s="87"/>
      <c r="H18" s="87"/>
      <c r="I18" s="87"/>
    </row>
    <row r="19" spans="2:10" ht="14" x14ac:dyDescent="0.15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4" x14ac:dyDescent="0.15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40">
        <f>Inputs!C58</f>
        <v>22411</v>
      </c>
      <c r="D21" s="198">
        <f>Inputs!D58</f>
        <v>0.9</v>
      </c>
      <c r="E21" s="88">
        <f t="shared" si="0"/>
        <v>20169.900000000001</v>
      </c>
      <c r="F21" s="112"/>
      <c r="G21" s="87"/>
      <c r="H21" s="3"/>
      <c r="I21" s="40"/>
    </row>
    <row r="22" spans="2:10" ht="15" customHeight="1" x14ac:dyDescent="0.15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797492</v>
      </c>
    </row>
    <row r="23" spans="2:10" ht="15" customHeight="1" x14ac:dyDescent="0.15">
      <c r="C23" s="87"/>
      <c r="D23" s="87"/>
      <c r="E23" s="87"/>
      <c r="F23" s="111" t="s">
        <v>52</v>
      </c>
      <c r="G23" s="87"/>
    </row>
    <row r="24" spans="2:10" ht="15" customHeight="1" x14ac:dyDescent="0.15">
      <c r="B24" s="23" t="s">
        <v>53</v>
      </c>
      <c r="C24" s="61">
        <f>SUM(C11:C14)</f>
        <v>1965748</v>
      </c>
      <c r="D24" s="62">
        <f>IF(E24=0,0,E24/C24)</f>
        <v>0.80177250593667138</v>
      </c>
      <c r="E24" s="88">
        <f>SUM(E11:E14)</f>
        <v>1576082.7</v>
      </c>
      <c r="F24" s="113">
        <f>E24/$E$28</f>
        <v>0.88147417477709</v>
      </c>
      <c r="G24" s="87"/>
    </row>
    <row r="25" spans="2:10" ht="15" customHeight="1" x14ac:dyDescent="0.15">
      <c r="B25" s="23" t="s">
        <v>55</v>
      </c>
      <c r="C25" s="61">
        <f>SUM(C15:C17)</f>
        <v>63587</v>
      </c>
      <c r="D25" s="62">
        <f>IF(E25=0,0,E25/C25)</f>
        <v>0.1</v>
      </c>
      <c r="E25" s="88">
        <f>SUM(E15:E17)</f>
        <v>6358.7000000000007</v>
      </c>
      <c r="F25" s="113">
        <f>E25/$E$28</f>
        <v>3.5563043964349605E-3</v>
      </c>
      <c r="G25" s="87"/>
      <c r="H25" s="23" t="s">
        <v>56</v>
      </c>
      <c r="I25" s="63">
        <f>E28/I28</f>
        <v>2.2266181827238594</v>
      </c>
    </row>
    <row r="26" spans="2:10" ht="15" customHeight="1" x14ac:dyDescent="0.15">
      <c r="B26" s="23" t="s">
        <v>57</v>
      </c>
      <c r="C26" s="61">
        <f>C18+C19+C20</f>
        <v>370793</v>
      </c>
      <c r="D26" s="62">
        <f>IF(E26=0,0,E26/C26)</f>
        <v>0.5</v>
      </c>
      <c r="E26" s="88">
        <f>E18+E19+E20</f>
        <v>185396.5</v>
      </c>
      <c r="F26" s="113">
        <f>E26/$E$28</f>
        <v>0.10368886533940178</v>
      </c>
      <c r="G26" s="87"/>
      <c r="H26" s="23" t="s">
        <v>58</v>
      </c>
      <c r="I26" s="63">
        <f>E24/($I$28-I22)</f>
        <v>285.36713742531231</v>
      </c>
      <c r="J26" s="8" t="str">
        <f>IF(I26&lt;1,"Liquidity Problem!","")</f>
        <v/>
      </c>
    </row>
    <row r="27" spans="2:10" ht="15" customHeight="1" x14ac:dyDescent="0.15">
      <c r="B27" s="23" t="s">
        <v>59</v>
      </c>
      <c r="C27" s="77">
        <f>C21+C22</f>
        <v>22411</v>
      </c>
      <c r="D27" s="62">
        <f>IF(E27=0,0,E27/C27)</f>
        <v>0.9</v>
      </c>
      <c r="E27" s="88">
        <f>E21+E22</f>
        <v>20169.900000000001</v>
      </c>
      <c r="F27" s="113">
        <f>E27/$E$28</f>
        <v>1.128065548707338E-2</v>
      </c>
      <c r="G27" s="87"/>
      <c r="H27" s="23" t="s">
        <v>60</v>
      </c>
      <c r="I27" s="63">
        <f>(E25+E24)/$I$28</f>
        <v>1.9706249571925802</v>
      </c>
      <c r="J27" s="8" t="str">
        <f>IF(OR(I27&lt;0.75,C28&lt;I28),"Liquidity Issue!","")</f>
        <v/>
      </c>
    </row>
    <row r="28" spans="2:10" ht="15" customHeight="1" x14ac:dyDescent="0.15">
      <c r="B28" s="78" t="s">
        <v>15</v>
      </c>
      <c r="C28" s="79">
        <f>SUM(C11:C22)</f>
        <v>2422539</v>
      </c>
      <c r="D28" s="57">
        <f>E28/C28</f>
        <v>0.73807183289928446</v>
      </c>
      <c r="E28" s="70">
        <f>SUM(E24:E27)</f>
        <v>1788007.7999999998</v>
      </c>
      <c r="F28" s="112"/>
      <c r="G28" s="87"/>
      <c r="H28" s="78" t="s">
        <v>16</v>
      </c>
      <c r="I28" s="206">
        <f>Inputs!C77</f>
        <v>803015</v>
      </c>
      <c r="J28" s="32">
        <f>IF(J26="",1,0)+IF(J27="",1,0)+IF(J46="",1,0)+IF(J47="",1,0)</f>
        <v>4</v>
      </c>
    </row>
    <row r="29" spans="2:10" ht="15" customHeight="1" x14ac:dyDescent="0.15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15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15">
      <c r="B31" s="3" t="s">
        <v>63</v>
      </c>
      <c r="C31" s="40">
        <f>Inputs!C61</f>
        <v>39731</v>
      </c>
      <c r="D31" s="198">
        <f>Inputs!D61</f>
        <v>0.6</v>
      </c>
      <c r="E31" s="88">
        <f t="shared" ref="E31:E42" si="1">C31*D31</f>
        <v>23838.6</v>
      </c>
      <c r="F31" s="112"/>
      <c r="G31" s="87"/>
      <c r="H31" s="3" t="s">
        <v>64</v>
      </c>
      <c r="I31" s="40">
        <f>Inputs!C79</f>
        <v>2115</v>
      </c>
      <c r="J31" s="87"/>
    </row>
    <row r="32" spans="2:10" ht="15" customHeight="1" x14ac:dyDescent="0.15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4" x14ac:dyDescent="0.15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4" x14ac:dyDescent="0.15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2115</v>
      </c>
      <c r="J34" s="87"/>
    </row>
    <row r="35" spans="2:10" ht="14" x14ac:dyDescent="0.15">
      <c r="B35" s="3" t="s">
        <v>70</v>
      </c>
      <c r="C35" s="40">
        <f>Inputs!C65</f>
        <v>85171</v>
      </c>
      <c r="D35" s="198">
        <f>Inputs!D65</f>
        <v>0.1</v>
      </c>
      <c r="E35" s="88">
        <f t="shared" si="1"/>
        <v>8517.1</v>
      </c>
      <c r="F35" s="134" t="str">
        <f>Inputs!E65</f>
        <v>N</v>
      </c>
      <c r="G35" s="30">
        <f>IF(F35="Y",0,1)</f>
        <v>1</v>
      </c>
      <c r="J35" s="87"/>
    </row>
    <row r="36" spans="2:10" ht="14" x14ac:dyDescent="0.15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4" x14ac:dyDescent="0.15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15">
      <c r="B38" s="3" t="s">
        <v>119</v>
      </c>
      <c r="C38" s="40">
        <f>Inputs!C68</f>
        <v>1863998</v>
      </c>
      <c r="D38" s="198">
        <f>Inputs!D68</f>
        <v>0.1</v>
      </c>
      <c r="E38" s="88">
        <f t="shared" si="1"/>
        <v>186399.80000000002</v>
      </c>
      <c r="F38" s="112"/>
      <c r="G38" s="87"/>
      <c r="H38" s="87"/>
      <c r="I38" s="87"/>
    </row>
    <row r="39" spans="2:10" ht="14" x14ac:dyDescent="0.15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15">
      <c r="B40" s="3" t="s">
        <v>74</v>
      </c>
      <c r="C40" s="40">
        <f>Inputs!C70</f>
        <v>23958</v>
      </c>
      <c r="D40" s="198">
        <f>Inputs!D70</f>
        <v>0.05</v>
      </c>
      <c r="E40" s="88">
        <f t="shared" si="1"/>
        <v>1197.9000000000001</v>
      </c>
      <c r="F40" s="112"/>
      <c r="G40" s="87"/>
      <c r="H40" s="87"/>
      <c r="I40" s="87"/>
    </row>
    <row r="41" spans="2:10" ht="15" customHeight="1" x14ac:dyDescent="0.15">
      <c r="B41" s="3" t="s">
        <v>75</v>
      </c>
      <c r="C41" s="40">
        <f>Inputs!C71</f>
        <v>71331</v>
      </c>
      <c r="D41" s="198">
        <f>Inputs!D71</f>
        <v>0.9</v>
      </c>
      <c r="E41" s="88">
        <f t="shared" si="1"/>
        <v>64197.9</v>
      </c>
      <c r="F41" s="112"/>
      <c r="G41" s="87"/>
      <c r="H41" s="87"/>
      <c r="I41" s="87"/>
    </row>
    <row r="42" spans="2:10" ht="15" customHeight="1" x14ac:dyDescent="0.15">
      <c r="B42" s="3" t="s">
        <v>76</v>
      </c>
      <c r="C42" s="40">
        <f>Inputs!C72</f>
        <v>62618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98092</v>
      </c>
    </row>
    <row r="43" spans="2:10" ht="15" customHeight="1" x14ac:dyDescent="0.15">
      <c r="C43" s="87"/>
      <c r="D43" s="87"/>
      <c r="E43" s="87"/>
      <c r="F43" s="87"/>
      <c r="G43" s="87"/>
      <c r="H43" s="87"/>
      <c r="I43" s="87"/>
    </row>
    <row r="44" spans="2:10" ht="15" customHeight="1" x14ac:dyDescent="0.15">
      <c r="B44" s="23" t="s">
        <v>77</v>
      </c>
      <c r="C44" s="61">
        <f>SUM(C30:C31)</f>
        <v>39731</v>
      </c>
      <c r="D44" s="62">
        <f>IF(E44=0,0,E44/C44)</f>
        <v>0.6</v>
      </c>
      <c r="E44" s="88">
        <f>SUM(E30:E31)</f>
        <v>23838.6</v>
      </c>
      <c r="F44" s="72"/>
      <c r="G44" s="87"/>
    </row>
    <row r="45" spans="2:10" ht="15" customHeight="1" x14ac:dyDescent="0.15">
      <c r="B45" s="23" t="s">
        <v>79</v>
      </c>
      <c r="C45" s="61">
        <f>SUM(C32:C35)</f>
        <v>85171</v>
      </c>
      <c r="D45" s="62">
        <f>IF(E45=0,0,E45/C45)</f>
        <v>0.1</v>
      </c>
      <c r="E45" s="88">
        <f>SUM(E32:E35)</f>
        <v>8517.1</v>
      </c>
      <c r="F45" s="72"/>
      <c r="G45" s="87"/>
    </row>
    <row r="46" spans="2:10" ht="15" customHeight="1" x14ac:dyDescent="0.15">
      <c r="B46" s="23" t="s">
        <v>80</v>
      </c>
      <c r="C46" s="61">
        <f>C36+C37+C38+C39</f>
        <v>1863998</v>
      </c>
      <c r="D46" s="62">
        <f>IF(E46=0,0,E46/C46)</f>
        <v>0.1</v>
      </c>
      <c r="E46" s="88">
        <f>E36+E37+E38+E39</f>
        <v>186399.80000000002</v>
      </c>
      <c r="F46" s="87"/>
      <c r="G46" s="87"/>
      <c r="H46" s="23" t="s">
        <v>81</v>
      </c>
      <c r="I46" s="63">
        <f>(E44+E24)/E64</f>
        <v>209.46861743912021</v>
      </c>
      <c r="J46" s="8" t="str">
        <f>IF(I46&lt;1,"Liquidity Problem!","")</f>
        <v/>
      </c>
    </row>
    <row r="47" spans="2:10" ht="15" customHeight="1" x14ac:dyDescent="0.15">
      <c r="B47" s="23" t="s">
        <v>82</v>
      </c>
      <c r="C47" s="61">
        <f>C40+C41+C42</f>
        <v>157907</v>
      </c>
      <c r="D47" s="62">
        <f>IF(E47=0,0,E47/C47)</f>
        <v>0.41414123503074596</v>
      </c>
      <c r="E47" s="88">
        <f>E40+E41+E42</f>
        <v>65395.8</v>
      </c>
      <c r="F47" s="87"/>
      <c r="G47" s="87"/>
      <c r="H47" s="23" t="s">
        <v>83</v>
      </c>
      <c r="I47" s="63">
        <f>(E44+E45+E24+E25)/$I$49</f>
        <v>1.7878186093784252</v>
      </c>
      <c r="J47" s="8" t="str">
        <f>IF(OR(I47&lt;0.5,C49&lt;I49),"Liquidity Issue!","")</f>
        <v/>
      </c>
    </row>
    <row r="48" spans="2:10" ht="15" customHeight="1" thickBot="1" x14ac:dyDescent="0.2">
      <c r="B48" s="80" t="s">
        <v>84</v>
      </c>
      <c r="C48" s="81">
        <f>SUM(C30:C42)</f>
        <v>2146807</v>
      </c>
      <c r="D48" s="82">
        <f>E48/C48</f>
        <v>0.13235996528798349</v>
      </c>
      <c r="E48" s="76">
        <f>SUM(E30:E42)</f>
        <v>284151.3</v>
      </c>
      <c r="F48" s="87"/>
      <c r="G48" s="87"/>
      <c r="H48" s="80" t="s">
        <v>85</v>
      </c>
      <c r="I48" s="207">
        <f>Inputs!C82</f>
        <v>100207</v>
      </c>
      <c r="J48" s="8"/>
    </row>
    <row r="49" spans="2:11" ht="15" customHeight="1" thickTop="1" x14ac:dyDescent="0.15">
      <c r="B49" s="3" t="s">
        <v>14</v>
      </c>
      <c r="C49" s="61">
        <f>C28+C48</f>
        <v>4569346</v>
      </c>
      <c r="D49" s="56">
        <f>E49/C49</f>
        <v>0.45349139679945444</v>
      </c>
      <c r="E49" s="88">
        <f>E28+E48</f>
        <v>2072159.0999999999</v>
      </c>
      <c r="F49" s="87"/>
      <c r="G49" s="87"/>
      <c r="H49" s="3" t="s">
        <v>86</v>
      </c>
      <c r="I49" s="52">
        <f>I28+I48</f>
        <v>903222</v>
      </c>
      <c r="J49" s="87"/>
    </row>
    <row r="50" spans="2:11" ht="15" customHeight="1" x14ac:dyDescent="0.15">
      <c r="C50" s="87"/>
      <c r="D50" s="87"/>
      <c r="E50" s="87"/>
      <c r="I50" s="87"/>
    </row>
    <row r="51" spans="2:11" ht="14" x14ac:dyDescent="0.15">
      <c r="B51" s="10" t="s">
        <v>87</v>
      </c>
      <c r="C51" s="31"/>
      <c r="D51" s="18"/>
    </row>
    <row r="52" spans="2:11" ht="14" x14ac:dyDescent="0.15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4" x14ac:dyDescent="0.15">
      <c r="B53" s="3" t="s">
        <v>89</v>
      </c>
      <c r="C53" s="88">
        <f>MAX(D4,0)</f>
        <v>45613</v>
      </c>
      <c r="D53" s="29">
        <f>IF(E53=0, 0,E53/C53)</f>
        <v>1.4775165218634176</v>
      </c>
      <c r="E53" s="88">
        <f>IF(C53=0,0,MAX(C53,C53*Dashboard!G23))</f>
        <v>67393.961111756071</v>
      </c>
      <c r="F53" s="87"/>
      <c r="G53" s="87"/>
      <c r="I53" s="41"/>
      <c r="K53" s="33"/>
    </row>
    <row r="54" spans="2:11" ht="15" customHeight="1" x14ac:dyDescent="0.15">
      <c r="C54" s="87"/>
      <c r="D54" s="87"/>
      <c r="E54" s="87"/>
      <c r="F54" s="87"/>
      <c r="G54" s="87"/>
      <c r="I54" s="87"/>
      <c r="K54" s="33"/>
    </row>
    <row r="55" spans="2:11" ht="14" x14ac:dyDescent="0.15">
      <c r="B55" s="25" t="s">
        <v>151</v>
      </c>
      <c r="C55" s="3"/>
      <c r="E55" s="125"/>
      <c r="F55" s="3"/>
      <c r="G55" s="3"/>
      <c r="I55" s="87"/>
      <c r="K55" s="33"/>
    </row>
    <row r="56" spans="2:11" ht="14" x14ac:dyDescent="0.15">
      <c r="B56" s="20" t="s">
        <v>90</v>
      </c>
      <c r="C56" s="87"/>
      <c r="D56" s="284">
        <f>I15+I34</f>
        <v>7638</v>
      </c>
      <c r="E56" s="282"/>
      <c r="F56" s="3"/>
      <c r="G56" s="3"/>
      <c r="I56" s="56"/>
      <c r="K56" s="33"/>
    </row>
    <row r="57" spans="2:11" ht="14" x14ac:dyDescent="0.15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15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15">
      <c r="C59" s="87"/>
      <c r="D59" s="87"/>
      <c r="E59" s="87"/>
      <c r="F59" s="87"/>
      <c r="G59" s="87"/>
      <c r="I59" s="87"/>
      <c r="K59" s="33"/>
    </row>
    <row r="60" spans="2:11" ht="14" x14ac:dyDescent="0.15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15">
      <c r="B61" s="19" t="s">
        <v>95</v>
      </c>
      <c r="C61" s="68">
        <f>C14+C15+(C19*G19)+(C20*G20)+C31+C32+(C35*G35)+(C36*G36)+(C37*G37)</f>
        <v>346519</v>
      </c>
      <c r="D61" s="56">
        <f t="shared" ref="D61:D70" si="2">IF(E61=0,0,E61/C61)</f>
        <v>0.47710486293680865</v>
      </c>
      <c r="E61" s="52">
        <f>E14+E15+(E19*G19)+(E20*G20)+E31+E32+(E35*G35)+(E36*G36)+(E37*G37)</f>
        <v>165325.9</v>
      </c>
      <c r="F61" s="87"/>
      <c r="G61" s="87"/>
      <c r="I61" s="87"/>
      <c r="K61" s="33"/>
    </row>
    <row r="62" spans="2:11" ht="14" x14ac:dyDescent="0.15">
      <c r="B62" s="35" t="s">
        <v>140</v>
      </c>
      <c r="C62" s="117">
        <f>C11+C30</f>
        <v>1322113</v>
      </c>
      <c r="D62" s="107">
        <f t="shared" si="2"/>
        <v>0.89999999999999991</v>
      </c>
      <c r="E62" s="118">
        <f>E11+E30</f>
        <v>1189901.7</v>
      </c>
      <c r="F62" s="87"/>
      <c r="G62" s="87"/>
      <c r="I62" s="87"/>
      <c r="K62" s="33"/>
    </row>
    <row r="63" spans="2:11" ht="14" x14ac:dyDescent="0.15">
      <c r="B63" s="19" t="s">
        <v>142</v>
      </c>
      <c r="C63" s="68">
        <f>C61+C62</f>
        <v>1668632</v>
      </c>
      <c r="D63" s="29">
        <f t="shared" si="2"/>
        <v>0.81217883871338914</v>
      </c>
      <c r="E63" s="61">
        <f>E61+E62</f>
        <v>1355227.5999999999</v>
      </c>
      <c r="F63" s="87"/>
      <c r="G63" s="87"/>
      <c r="I63" s="87"/>
      <c r="K63" s="33"/>
    </row>
    <row r="64" spans="2:11" thickBot="1" x14ac:dyDescent="0.2">
      <c r="B64" s="121" t="s">
        <v>152</v>
      </c>
      <c r="C64" s="208"/>
      <c r="D64" s="208"/>
      <c r="E64" s="69">
        <f>D56+D57+D58</f>
        <v>7638</v>
      </c>
      <c r="F64" s="87"/>
      <c r="G64" s="87"/>
      <c r="I64" s="87"/>
      <c r="K64" s="33"/>
    </row>
    <row r="65" spans="1:11" thickTop="1" x14ac:dyDescent="0.15">
      <c r="B65" s="3" t="s">
        <v>143</v>
      </c>
      <c r="C65" s="68">
        <f>C63-E64</f>
        <v>1660994</v>
      </c>
      <c r="D65" s="29">
        <f t="shared" si="2"/>
        <v>0.81131515225220552</v>
      </c>
      <c r="E65" s="61">
        <f>E63-E64</f>
        <v>1347589.5999999999</v>
      </c>
      <c r="F65" s="87"/>
      <c r="G65" s="87"/>
      <c r="I65" s="87"/>
      <c r="K65" s="33"/>
    </row>
    <row r="66" spans="1:11" ht="14" x14ac:dyDescent="0.15">
      <c r="B66" s="3"/>
      <c r="C66" s="68"/>
      <c r="D66" s="29"/>
      <c r="E66" s="61"/>
      <c r="F66" s="87"/>
      <c r="G66" s="87"/>
      <c r="I66" s="87"/>
      <c r="K66" s="33"/>
    </row>
    <row r="67" spans="1:11" ht="14" x14ac:dyDescent="0.15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4" x14ac:dyDescent="0.15">
      <c r="B68" s="19" t="s">
        <v>141</v>
      </c>
      <c r="C68" s="68">
        <f>C49-C63</f>
        <v>2900714</v>
      </c>
      <c r="D68" s="29">
        <f t="shared" si="2"/>
        <v>0.24715690688568401</v>
      </c>
      <c r="E68" s="68">
        <f>E49-E63</f>
        <v>716931.5</v>
      </c>
      <c r="F68" s="87"/>
      <c r="G68" s="87"/>
      <c r="I68" s="87"/>
      <c r="K68" s="33"/>
    </row>
    <row r="69" spans="1:11" thickBot="1" x14ac:dyDescent="0.2">
      <c r="B69" s="121" t="s">
        <v>153</v>
      </c>
      <c r="C69" s="208"/>
      <c r="D69" s="208"/>
      <c r="E69" s="126">
        <f>I49-E64</f>
        <v>895584</v>
      </c>
      <c r="F69" s="87"/>
      <c r="G69" s="87"/>
      <c r="I69" s="87"/>
      <c r="K69" s="33"/>
    </row>
    <row r="70" spans="1:11" thickTop="1" x14ac:dyDescent="0.15">
      <c r="B70" s="19" t="s">
        <v>144</v>
      </c>
      <c r="C70" s="68">
        <f>C68-E69</f>
        <v>2005130</v>
      </c>
      <c r="D70" s="29">
        <f t="shared" si="2"/>
        <v>-8.9097714362659772E-2</v>
      </c>
      <c r="E70" s="68">
        <f>E68-E69</f>
        <v>-178652.5</v>
      </c>
      <c r="F70" s="87"/>
      <c r="G70" s="87"/>
      <c r="I70" s="87"/>
      <c r="K70" s="33"/>
    </row>
    <row r="72" spans="1:11" ht="15" customHeight="1" x14ac:dyDescent="0.15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15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15">
      <c r="B74" s="3" t="s">
        <v>127</v>
      </c>
      <c r="C74" s="77">
        <f>Data!C6</f>
        <v>3833194</v>
      </c>
      <c r="D74" s="209"/>
      <c r="E74" s="238">
        <f>Inputs!E91</f>
        <v>3833194</v>
      </c>
      <c r="F74" s="209"/>
      <c r="H74" s="238">
        <f>Inputs!F91</f>
        <v>3833194</v>
      </c>
      <c r="I74" s="209"/>
      <c r="K74" s="24"/>
    </row>
    <row r="75" spans="1:11" ht="15" customHeight="1" x14ac:dyDescent="0.15">
      <c r="B75" s="104" t="s">
        <v>106</v>
      </c>
      <c r="C75" s="77">
        <f>Data!C8</f>
        <v>2530133</v>
      </c>
      <c r="D75" s="159">
        <f>C75/$C$74</f>
        <v>0.66005868735054896</v>
      </c>
      <c r="E75" s="238">
        <f>Inputs!E92</f>
        <v>2530133</v>
      </c>
      <c r="F75" s="160">
        <f>E75/E74</f>
        <v>0.66005868735054896</v>
      </c>
      <c r="H75" s="238">
        <f>Inputs!F92</f>
        <v>2530133</v>
      </c>
      <c r="I75" s="160">
        <f>H75/$H$74</f>
        <v>0.66005868735054896</v>
      </c>
      <c r="K75" s="24"/>
    </row>
    <row r="76" spans="1:11" ht="15" customHeight="1" x14ac:dyDescent="0.15">
      <c r="B76" s="35" t="s">
        <v>96</v>
      </c>
      <c r="C76" s="161">
        <f>C74-C75</f>
        <v>1303061</v>
      </c>
      <c r="D76" s="210"/>
      <c r="E76" s="162">
        <f>E74-E75</f>
        <v>1303061</v>
      </c>
      <c r="F76" s="210"/>
      <c r="H76" s="162">
        <f>H74-H75</f>
        <v>1303061</v>
      </c>
      <c r="I76" s="210"/>
      <c r="K76" s="24"/>
    </row>
    <row r="77" spans="1:11" ht="15" customHeight="1" x14ac:dyDescent="0.15">
      <c r="B77" s="104" t="s">
        <v>248</v>
      </c>
      <c r="C77" s="77">
        <f>Data!C10+MAX(Data!C11,0)</f>
        <v>829721</v>
      </c>
      <c r="D77" s="159">
        <f>C77/$C$74</f>
        <v>0.21645682425674254</v>
      </c>
      <c r="E77" s="238">
        <f>Inputs!E93</f>
        <v>829721</v>
      </c>
      <c r="F77" s="160">
        <f>E77/E74</f>
        <v>0.21645682425674254</v>
      </c>
      <c r="H77" s="238">
        <f>Inputs!F93</f>
        <v>829721</v>
      </c>
      <c r="I77" s="160">
        <f>H77/$H$74</f>
        <v>0.21645682425674254</v>
      </c>
      <c r="K77" s="24"/>
    </row>
    <row r="78" spans="1:11" ht="15" customHeight="1" x14ac:dyDescent="0.15">
      <c r="B78" s="73" t="s">
        <v>173</v>
      </c>
      <c r="C78" s="77">
        <f>MAX(Data!C12,0)</f>
        <v>3760.2523659305994</v>
      </c>
      <c r="D78" s="159">
        <f>C78/$C$74</f>
        <v>9.8097105597332122E-4</v>
      </c>
      <c r="E78" s="180">
        <f>E74*F78</f>
        <v>3760.2523659305989</v>
      </c>
      <c r="F78" s="160">
        <f>I78</f>
        <v>9.8097105597332122E-4</v>
      </c>
      <c r="H78" s="238">
        <f>Inputs!F97</f>
        <v>3760.2523659305989</v>
      </c>
      <c r="I78" s="160">
        <f>H78/$H$74</f>
        <v>9.8097105597332122E-4</v>
      </c>
      <c r="K78" s="24"/>
    </row>
    <row r="79" spans="1:11" ht="15" customHeight="1" x14ac:dyDescent="0.15">
      <c r="B79" s="256" t="s">
        <v>233</v>
      </c>
      <c r="C79" s="257">
        <f>C76-C77-C78</f>
        <v>469579.74763406941</v>
      </c>
      <c r="D79" s="258">
        <f>C79/C74</f>
        <v>0.12250351733673522</v>
      </c>
      <c r="E79" s="259">
        <f>E76-E77-E78</f>
        <v>469579.74763406941</v>
      </c>
      <c r="F79" s="258">
        <f>E79/E74</f>
        <v>0.12250351733673522</v>
      </c>
      <c r="G79" s="260"/>
      <c r="H79" s="259">
        <f>H76-H77-H78</f>
        <v>469579.74763406941</v>
      </c>
      <c r="I79" s="258">
        <f>H79/H74</f>
        <v>0.12250351733673522</v>
      </c>
      <c r="K79" s="24"/>
    </row>
    <row r="80" spans="1:11" ht="15" customHeight="1" x14ac:dyDescent="0.15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15">
      <c r="B81" s="104" t="s">
        <v>258</v>
      </c>
      <c r="C81" s="77">
        <f>MAX(Data!C17,0)</f>
        <v>270</v>
      </c>
      <c r="D81" s="159">
        <f>C81/$C$74</f>
        <v>7.0437342852983705E-5</v>
      </c>
      <c r="E81" s="180">
        <f>E74*F81</f>
        <v>270</v>
      </c>
      <c r="F81" s="160">
        <f>I81</f>
        <v>7.0437342852983705E-5</v>
      </c>
      <c r="H81" s="238">
        <f>Inputs!F94</f>
        <v>270</v>
      </c>
      <c r="I81" s="160">
        <f>H81/$H$74</f>
        <v>7.0437342852983705E-5</v>
      </c>
      <c r="K81" s="24"/>
    </row>
    <row r="82" spans="1:11" ht="15" customHeight="1" x14ac:dyDescent="0.15">
      <c r="B82" s="28" t="s">
        <v>247</v>
      </c>
      <c r="C82" s="77">
        <f>ABS(MAX(Data!C21,0)-MAX(Data!C19,0))</f>
        <v>281973</v>
      </c>
      <c r="D82" s="159">
        <f>C82/$C$74</f>
        <v>7.3560847689942116E-2</v>
      </c>
      <c r="E82" s="238">
        <f>Inputs!E95</f>
        <v>38331.94</v>
      </c>
      <c r="F82" s="160">
        <f>E82/E74</f>
        <v>0.01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2">
      <c r="B83" s="105" t="s">
        <v>126</v>
      </c>
      <c r="C83" s="163">
        <f>C79-C81-C82-C80</f>
        <v>187336.74763406941</v>
      </c>
      <c r="D83" s="164">
        <f>C83/$C$74</f>
        <v>4.8872232303940111E-2</v>
      </c>
      <c r="E83" s="165">
        <f>E79-E81-E82-E80</f>
        <v>430977.80763406941</v>
      </c>
      <c r="F83" s="164">
        <f>E83/E74</f>
        <v>0.11243307999388223</v>
      </c>
      <c r="H83" s="165">
        <f>H79-H81-H82-H80</f>
        <v>469309.74763406941</v>
      </c>
      <c r="I83" s="164">
        <f>H83/$H$74</f>
        <v>0.12243307999388223</v>
      </c>
      <c r="K83" s="24"/>
    </row>
    <row r="84" spans="1:11" ht="15" customHeight="1" thickTop="1" x14ac:dyDescent="0.15">
      <c r="B84" s="28" t="s">
        <v>97</v>
      </c>
      <c r="C84" s="211"/>
      <c r="D84" s="159">
        <f>I84</f>
        <v>0.20750000000000002</v>
      </c>
      <c r="E84" s="212"/>
      <c r="F84" s="179">
        <f t="shared" ref="F84" si="3">I84</f>
        <v>0.20750000000000002</v>
      </c>
      <c r="H84" s="212"/>
      <c r="I84" s="202">
        <f>Inputs!C16</f>
        <v>0.20750000000000002</v>
      </c>
      <c r="K84" s="24"/>
    </row>
    <row r="85" spans="1:11" ht="15" customHeight="1" x14ac:dyDescent="0.15">
      <c r="B85" s="263" t="s">
        <v>165</v>
      </c>
      <c r="C85" s="257">
        <f>C83*(1-I84)</f>
        <v>148464.3725</v>
      </c>
      <c r="D85" s="258">
        <f>C85/$C$74</f>
        <v>3.8731244100872537E-2</v>
      </c>
      <c r="E85" s="264">
        <f>E83*(1-F84)</f>
        <v>341549.91255000001</v>
      </c>
      <c r="F85" s="258">
        <f>E85/E74</f>
        <v>8.9103215895151675E-2</v>
      </c>
      <c r="G85" s="260"/>
      <c r="H85" s="264">
        <f>H83*(1-I84)</f>
        <v>371927.97499999998</v>
      </c>
      <c r="I85" s="258">
        <f>H85/$H$74</f>
        <v>9.7028215895151662E-2</v>
      </c>
      <c r="K85" s="24"/>
    </row>
    <row r="86" spans="1:11" ht="15" customHeight="1" x14ac:dyDescent="0.15">
      <c r="B86" s="87" t="s">
        <v>161</v>
      </c>
      <c r="C86" s="167">
        <f>C85*Data!C4/Common_Shares</f>
        <v>0.14224929047039839</v>
      </c>
      <c r="D86" s="209"/>
      <c r="E86" s="168">
        <f>E85*Data!C4/Common_Shares</f>
        <v>0.32725179719776959</v>
      </c>
      <c r="F86" s="209"/>
      <c r="H86" s="168">
        <f>H85*Data!C4/Common_Shares</f>
        <v>0.35635815959712541</v>
      </c>
      <c r="I86" s="209"/>
      <c r="K86" s="24"/>
    </row>
    <row r="87" spans="1:11" ht="15" customHeight="1" x14ac:dyDescent="0.15">
      <c r="B87" s="87" t="s">
        <v>209</v>
      </c>
      <c r="C87" s="261">
        <f>C86*Exchange_Rate/Dashboard!G3</f>
        <v>2.7408341131097955E-2</v>
      </c>
      <c r="D87" s="209"/>
      <c r="E87" s="262">
        <f>E86*Exchange_Rate/Dashboard!G3</f>
        <v>6.3054296184541336E-2</v>
      </c>
      <c r="F87" s="209"/>
      <c r="H87" s="262">
        <f>H86*Exchange_Rate/Dashboard!G3</f>
        <v>6.8662458496555945E-2</v>
      </c>
      <c r="I87" s="209"/>
      <c r="K87" s="24"/>
    </row>
    <row r="88" spans="1:11" ht="15" customHeight="1" x14ac:dyDescent="0.15">
      <c r="B88" s="86" t="s">
        <v>208</v>
      </c>
      <c r="C88" s="169">
        <f>Inputs!C44</f>
        <v>0.15820000000000001</v>
      </c>
      <c r="D88" s="166">
        <f>C88/C86</f>
        <v>1.1121320849956782</v>
      </c>
      <c r="E88" s="170">
        <f>Inputs!E98</f>
        <v>0.15820000000000001</v>
      </c>
      <c r="F88" s="166">
        <f>E88/E86</f>
        <v>0.48341980503897514</v>
      </c>
      <c r="H88" s="170">
        <f>Inputs!F98</f>
        <v>0.15820000000000001</v>
      </c>
      <c r="I88" s="166">
        <f>H88/H86</f>
        <v>0.44393539403966586</v>
      </c>
      <c r="K88" s="24"/>
    </row>
    <row r="89" spans="1:11" ht="15" customHeight="1" x14ac:dyDescent="0.15">
      <c r="B89" s="87" t="s">
        <v>222</v>
      </c>
      <c r="C89" s="261">
        <f>C88*Exchange_Rate/Dashboard!G3</f>
        <v>3.0481695568400771E-2</v>
      </c>
      <c r="D89" s="209"/>
      <c r="E89" s="261">
        <f>E88*Exchange_Rate/Dashboard!G3</f>
        <v>3.0481695568400771E-2</v>
      </c>
      <c r="F89" s="209"/>
      <c r="H89" s="261">
        <f>H88*Exchange_Rate/Dashboard!G3</f>
        <v>3.0481695568400771E-2</v>
      </c>
      <c r="I89" s="209"/>
      <c r="K89" s="24"/>
    </row>
    <row r="90" spans="1:11" ht="15" customHeight="1" x14ac:dyDescent="0.15">
      <c r="B90" s="28"/>
      <c r="C90" s="88"/>
    </row>
    <row r="91" spans="1:11" ht="15" customHeight="1" x14ac:dyDescent="0.15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15">
      <c r="B92" s="10" t="s">
        <v>156</v>
      </c>
      <c r="C92" s="198" t="str">
        <f>Inputs!C15</f>
        <v>CN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15">
      <c r="B93" s="1" t="str">
        <f>C92&amp;" Discount Rate"</f>
        <v>CN Discount Rate</v>
      </c>
      <c r="C93" s="136">
        <f>IF(C92="CN",Dashboard!C17,IF(C92="US",Dashboard!C12,IF(C92="HK",Dashboard!D12,Dashboard!D17)))</f>
        <v>9.1999999999999998E-2</v>
      </c>
      <c r="D93" s="239">
        <f>Inputs!C86</f>
        <v>5</v>
      </c>
      <c r="E93" s="87" t="s">
        <v>210</v>
      </c>
      <c r="F93" s="144">
        <f>FV(E87,D93,0,-(E86/(C93-D94)))*Exchange_Rate</f>
        <v>6.1705912451917078</v>
      </c>
      <c r="H93" s="87" t="s">
        <v>210</v>
      </c>
      <c r="I93" s="144">
        <f>FV(H87,D93,0,-(H86/(C93-D94)))*Exchange_Rate</f>
        <v>6.8985366613846217</v>
      </c>
      <c r="K93" s="24"/>
    </row>
    <row r="94" spans="1:11" ht="15" customHeight="1" x14ac:dyDescent="0.15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2.5531444800441951</v>
      </c>
      <c r="H94" s="87" t="s">
        <v>211</v>
      </c>
      <c r="I94" s="144">
        <f>FV(H89,D93,0,-(H88/(C93-D94)))*Exchange_Rate</f>
        <v>2.5531444800441951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15">
      <c r="B97" s="1" t="s">
        <v>131</v>
      </c>
      <c r="C97" s="91">
        <f>H97*Common_Shares/Data!C4</f>
        <v>3579644.6214030678</v>
      </c>
      <c r="D97" s="213"/>
      <c r="E97" s="123">
        <f>PV(C94,D93,0,-F93)</f>
        <v>3.0678744101446225</v>
      </c>
      <c r="F97" s="213"/>
      <c r="H97" s="123">
        <f>PV(C94,D93,0,-I93)</f>
        <v>3.4297919356427706</v>
      </c>
      <c r="I97" s="123">
        <f>PV(C93,D93,0,-I93)</f>
        <v>4.442667233912327</v>
      </c>
      <c r="K97" s="24"/>
    </row>
    <row r="98" spans="2:11" ht="15" customHeight="1" x14ac:dyDescent="0.15">
      <c r="B98" s="28" t="s">
        <v>145</v>
      </c>
      <c r="C98" s="91">
        <f>E53*Exchange_Rate</f>
        <v>67393.961111756071</v>
      </c>
      <c r="D98" s="213"/>
      <c r="E98" s="213"/>
      <c r="F98" s="213"/>
      <c r="H98" s="123">
        <f>C98*Data!$C$4/Common_Shares</f>
        <v>6.457268493918919E-2</v>
      </c>
      <c r="I98" s="215"/>
      <c r="K98" s="24"/>
    </row>
    <row r="99" spans="2:11" ht="15" customHeight="1" thickBot="1" x14ac:dyDescent="0.2">
      <c r="B99" s="105" t="s">
        <v>146</v>
      </c>
      <c r="C99" s="108">
        <f>(E65-IF(E70&lt;0,MIN(E65,ABS(E70)),0))*Exchange_Rate</f>
        <v>1168937.0999999999</v>
      </c>
      <c r="D99" s="214"/>
      <c r="E99" s="145">
        <f>IF(H99&gt;0,H99*(1-C94),H99*(1+C94))</f>
        <v>0.95200215201526783</v>
      </c>
      <c r="F99" s="214"/>
      <c r="H99" s="145">
        <f>C99*Data!$C$4/Common_Shares</f>
        <v>1.1200025317826681</v>
      </c>
      <c r="I99" s="216"/>
      <c r="K99" s="24"/>
    </row>
    <row r="100" spans="2:11" ht="15" customHeight="1" thickTop="1" x14ac:dyDescent="0.15">
      <c r="B100" s="1" t="s">
        <v>115</v>
      </c>
      <c r="C100" s="91">
        <f>C97-C98+$C$99</f>
        <v>4681187.7602913119</v>
      </c>
      <c r="D100" s="109">
        <f>MIN(F100*(1-C94),E100)</f>
        <v>3.5872234053754544</v>
      </c>
      <c r="E100" s="109">
        <f>MAX(E97-H98+E99,0)</f>
        <v>3.9553038772207012</v>
      </c>
      <c r="F100" s="109">
        <f>(E100+H100)/2</f>
        <v>4.2202628298534757</v>
      </c>
      <c r="H100" s="109">
        <f>MAX(C100*Data!$C$4/Common_Shares,0)</f>
        <v>4.4852217824862501</v>
      </c>
      <c r="I100" s="109">
        <f>MAX(I97-H98+H99,0)</f>
        <v>5.4980970807558061</v>
      </c>
      <c r="K100" s="24"/>
    </row>
    <row r="101" spans="2:11" ht="15" customHeight="1" x14ac:dyDescent="0.15">
      <c r="E101" s="24"/>
      <c r="K101" s="24"/>
    </row>
    <row r="102" spans="2:11" ht="15" customHeight="1" x14ac:dyDescent="0.15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15">
      <c r="B103" s="1" t="s">
        <v>162</v>
      </c>
      <c r="C103" s="91">
        <f>H103*Common_Shares/Data!C4</f>
        <v>1324824.4307830865</v>
      </c>
      <c r="D103" s="109">
        <f>MIN(F103*(1-C94),E103)</f>
        <v>1.0789594317332392</v>
      </c>
      <c r="E103" s="123">
        <f>PV(C94,D93,0,-F94)</f>
        <v>1.2693640373332227</v>
      </c>
      <c r="F103" s="109">
        <f>(E103+H103)/2</f>
        <v>1.2693640373332227</v>
      </c>
      <c r="H103" s="123">
        <f>PV(C94,D93,0,-I94)</f>
        <v>1.2693640373332227</v>
      </c>
      <c r="I103" s="109">
        <f>PV(C93,D93,0,-I94)</f>
        <v>1.6442286069781988</v>
      </c>
      <c r="K103" s="24"/>
    </row>
    <row r="104" spans="2:11" ht="15" customHeight="1" x14ac:dyDescent="0.15">
      <c r="E104" s="24"/>
      <c r="K104" s="24"/>
    </row>
    <row r="105" spans="2:11" ht="15" customHeight="1" x14ac:dyDescent="0.15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15">
      <c r="B106" s="1" t="s">
        <v>199</v>
      </c>
      <c r="C106" s="91">
        <f>E106*Common_Shares/Data!C4</f>
        <v>2726470.6941246497</v>
      </c>
      <c r="D106" s="109">
        <f>(D100+D103)/2</f>
        <v>2.3330914185543468</v>
      </c>
      <c r="E106" s="123">
        <f>(E100+E103)/2</f>
        <v>2.6123339572769622</v>
      </c>
      <c r="F106" s="109">
        <f>(F100+F103)/2</f>
        <v>2.7448134335933494</v>
      </c>
      <c r="H106" s="123">
        <f>(H100+H103)/2</f>
        <v>2.8772929099097366</v>
      </c>
      <c r="I106" s="123">
        <f>(I100+I103)/2</f>
        <v>3.5711628438670022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2024-12-05T12:18:34Z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