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9654E7-8BFA-48DD-BF0E-29A3279CEC2D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F77" i="3"/>
  <c r="H7" i="1"/>
  <c r="I33" i="3" l="1"/>
  <c r="I11" i="3"/>
  <c r="C42" i="3"/>
  <c r="C38" i="3"/>
  <c r="E82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C96" i="3" l="1"/>
  <c r="J19" i="2"/>
  <c r="J38" i="2" s="1"/>
  <c r="I46" i="2"/>
  <c r="I22" i="2"/>
  <c r="H37" i="2"/>
  <c r="H38" i="2" s="1"/>
  <c r="H51" i="2"/>
  <c r="H46" i="2"/>
  <c r="H22" i="2"/>
  <c r="D77" i="3"/>
  <c r="E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<sst xmlns="http://schemas.openxmlformats.org/spreadsheetml/2006/main" count="250" uniqueCount="230">
  <si>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</si>
  <si>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</si>
  <si>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</si>
  <si>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</si>
  <si>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</si>
  <si>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</si>
  <si>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</si>
  <si>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</si>
  <si>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</si>
  <si>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</si>
  <si>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</si>
  <si>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</si>
  <si>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</si>
  <si>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</si>
  <si>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</si>
  <si>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</si>
  <si>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</si>
  <si>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</si>
  <si>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</si>
  <si>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</si>
  <si>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</si>
  <si>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</si>
  <si>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</si>
  <si>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</si>
  <si>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</si>
  <si>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</si>
  <si>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</si>
  <si>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</si>
  <si>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</si>
  <si>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</si>
  <si>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</si>
  <si>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</si>
  <si>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</si>
  <si>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</si>
  <si>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</si>
  <si>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</si>
  <si>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</si>
  <si>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</si>
  <si>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</si>
  <si>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</si>
  <si>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</si>
  <si>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</si>
  <si>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</si>
  <si>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</si>
  <si>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</si>
  <si>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</si>
  <si>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</si>
  <si>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</si>
  <si>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</si>
  <si>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</si>
  <si>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</si>
  <si>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</si>
  <si>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</si>
  <si>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</si>
  <si>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</si>
  <si>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</si>
  <si>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</si>
  <si>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</si>
  <si>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</si>
  <si>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</si>
  <si>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</si>
  <si>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</si>
  <si>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</si>
  <si>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</si>
  <si>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</si>
  <si>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</si>
  <si>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</si>
  <si>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</si>
  <si>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</si>
  <si>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</si>
  <si>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</si>
  <si>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</si>
  <si>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</si>
  <si>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</si>
  <si>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</si>
  <si>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</si>
  <si>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</si>
  <si>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</si>
  <si>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</si>
  <si>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</si>
  <si>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</si>
  <si>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</si>
  <si>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</si>
  <si>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</si>
  <si>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</si>
  <si>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</si>
  <si>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</si>
  <si>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</si>
  <si>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</si>
  <si>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</si>
  <si>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</si>
  <si>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</si>
  <si>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</si>
  <si>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</si>
  <si>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</si>
  <si>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</si>
  <si>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</si>
  <si>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</si>
  <si>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</si>
  <si>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</si>
  <si>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</si>
  <si>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</si>
  <si>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</si>
  <si>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</si>
  <si>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</si>
  <si>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</si>
  <si>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</si>
  <si>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</si>
  <si>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</si>
  <si>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</si>
  <si>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</si>
  <si>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</si>
  <si>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</si>
  <si>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</si>
  <si>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</si>
  <si>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</si>
  <si>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</si>
  <si>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</si>
  <si>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</si>
  <si>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</si>
  <si>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</si>
  <si>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</si>
  <si>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</si>
  <si>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</si>
  <si>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</si>
  <si>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</si>
  <si>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</si>
  <si>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</si>
  <si>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</si>
  <si>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</si>
  <si>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</si>
  <si>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</si>
  <si>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</si>
  <si>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</si>
  <si>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</si>
  <si>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</si>
  <si>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</si>
  <si>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</si>
  <si>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</si>
  <si>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</si>
  <si>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</si>
  <si>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</si>
  <si>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</si>
  <si>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</si>
  <si>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</si>
  <si>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</si>
  <si>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</si>
  <si>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</si>
  <si>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</si>
  <si>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</si>
  <si>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</si>
  <si>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</si>
  <si>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</si>
  <si>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</si>
  <si>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</si>
  <si>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</si>
  <si>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</si>
  <si>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</si>
  <si>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</si>
  <si>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</si>
  <si>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</si>
  <si>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</si>
  <si>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</si>
  <si>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</si>
  <si>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</si>
  <si>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</si>
  <si>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</si>
  <si>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</si>
  <si>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</si>
  <si>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</si>
  <si>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</si>
  <si>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</si>
  <si>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</si>
  <si>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</si>
  <si>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</si>
  <si>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</si>
  <si>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</si>
  <si>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</si>
  <si>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</si>
  <si>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</si>
  <si>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</si>
  <si>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</si>
  <si>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</si>
  <si>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</si>
  <si>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</si>
  <si>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</si>
  <si>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</si>
  <si>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</si>
  <si>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</si>
  <si>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</si>
  <si>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</si>
  <si>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</si>
  <si>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</si>
  <si>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</si>
  <si>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</si>
  <si>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</si>
  <si>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</si>
  <si>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</si>
  <si>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</si>
  <si>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</si>
  <si>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</si>
  <si>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</si>
  <si>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</si>
  <si>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</si>
  <si>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</si>
  <si>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</si>
  <si>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</si>
  <si>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</si>
  <si>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</si>
  <si>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</si>
  <si>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</si>
  <si>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</si>
  <si>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</si>
  <si>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</si>
  <si>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</si>
  <si>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</si>
  <si>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</si>
  <si>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</si>
  <si>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</si>
  <si>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SAMSONITE INTERNATIONAL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</si>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</sst>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6" sqref="C2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1910.HK : SAMSONITE INTERNATIONAL</v>
      </c>
      <c r="D2" s="94"/>
      <c r="E2" s="7"/>
      <c r="F2" s="7"/>
      <c r="G2" s="93"/>
      <c r="H2" s="93"/>
    </row>
    <row r="3" spans="1:10" ht="15.75" customHeight="1" x14ac:dyDescent="0.4">
      <c r="B3" s="3" t="s">
        <v>228</v>
      </c>
      <c r="C3" s="199" t="s">
        <v>220</v>
      </c>
      <c r="D3" s="200"/>
      <c r="E3" s="94"/>
      <c r="F3" s="3" t="s">
        <v>1</v>
      </c>
      <c r="G3" s="171">
        <v>19.059999465942383</v>
      </c>
      <c r="H3" s="173" t="s">
        <v>2</v>
      </c>
    </row>
    <row r="4" spans="1:10" ht="15.75" customHeight="1" x14ac:dyDescent="0.4">
      <c r="B4" s="35" t="s">
        <v>229</v>
      </c>
      <c r="C4" s="201" t="s">
        <v>219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4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27869.870468031448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221</v>
      </c>
      <c r="H6" s="198"/>
      <c r="I6" s="38"/>
    </row>
    <row r="7" spans="1:10" ht="15.75" customHeight="1" x14ac:dyDescent="0.4">
      <c r="B7" s="93" t="s">
        <v>225</v>
      </c>
      <c r="C7" s="190" t="s">
        <v>47</v>
      </c>
      <c r="D7" s="196" t="s">
        <v>226</v>
      </c>
      <c r="E7" s="94"/>
      <c r="F7" s="35" t="s">
        <v>6</v>
      </c>
      <c r="G7" s="172">
        <v>7.7703200976053877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80" t="s">
        <v>223</v>
      </c>
      <c r="F9" s="186" t="s">
        <v>212</v>
      </c>
    </row>
    <row r="10" spans="1:10" ht="15.75" customHeight="1" x14ac:dyDescent="0.4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45">
      <c r="B11" s="147" t="s">
        <v>204</v>
      </c>
      <c r="C11" s="184">
        <v>5.2900000000000003E-2</v>
      </c>
      <c r="D11" s="177" t="s">
        <v>217</v>
      </c>
      <c r="F11" s="125" t="s">
        <v>202</v>
      </c>
    </row>
    <row r="12" spans="1:10" ht="15.75" customHeight="1" thickTop="1" x14ac:dyDescent="0.4">
      <c r="B12" s="94" t="s">
        <v>143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201</v>
      </c>
      <c r="C14" s="170">
        <v>2.0799999999999999E-2</v>
      </c>
      <c r="F14" s="125" t="s">
        <v>207</v>
      </c>
    </row>
    <row r="15" spans="1:10" ht="15.75" customHeight="1" x14ac:dyDescent="0.4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45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4">
      <c r="B17" s="94" t="s">
        <v>206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4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4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4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4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2.2319279128186378</v>
      </c>
    </row>
    <row r="24" spans="1:8" ht="15.75" customHeight="1" x14ac:dyDescent="0.4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9.560298331939425E-2</v>
      </c>
    </row>
    <row r="25" spans="1:8" ht="15.75" customHeight="1" x14ac:dyDescent="0.4">
      <c r="B25" s="177" t="s">
        <v>224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4">
      <c r="B26" s="179" t="s">
        <v>194</v>
      </c>
      <c r="C26" s="178">
        <f>Fin_Analysis!F83</f>
        <v>0.12415815772322404</v>
      </c>
      <c r="F26" s="183" t="s">
        <v>227</v>
      </c>
      <c r="G26" s="182">
        <f>Fin_Analysis!E87*Exchange_Rate/G3</f>
        <v>4.182764241094878E-2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4">
      <c r="B29" s="94" t="s">
        <v>187</v>
      </c>
      <c r="C29" s="168">
        <f>IF(Fin_Analysis!C103="Profit",Fin_Analysis!E98,Fin_Analysis!E101)</f>
        <v>15.048195919953905</v>
      </c>
      <c r="D29" s="167">
        <f>IF(Fin_Analysis!C103="Profit",Fin_Analysis!F98,Fin_Analysis!F101)</f>
        <v>25.08032653325651</v>
      </c>
      <c r="E29" s="94"/>
      <c r="F29" s="169">
        <f>IF(Fin_Analysis!C103="Profit",Fin_Analysis!D98,Fin_Analysis!D101)</f>
        <v>20.064261226605208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4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-2191.9199656320684</v>
      </c>
      <c r="E6" s="56">
        <f>1-D6/D3</f>
        <v>2.3639825548426057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4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3.9" x14ac:dyDescent="0.4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3.9" x14ac:dyDescent="0.4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3.9" x14ac:dyDescent="0.4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3.9" x14ac:dyDescent="0.4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3.9" x14ac:dyDescent="0.4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3.9" x14ac:dyDescent="0.4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3.9" x14ac:dyDescent="0.4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3.9" x14ac:dyDescent="0.4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3.9" x14ac:dyDescent="0.4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4">
      <c r="C23" s="94"/>
      <c r="D23" s="94"/>
      <c r="E23" s="94"/>
      <c r="F23" s="126" t="s">
        <v>53</v>
      </c>
      <c r="G23" s="94"/>
    </row>
    <row r="24" spans="2:10" ht="15" customHeight="1" x14ac:dyDescent="0.4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4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4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4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4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4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4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3.9" x14ac:dyDescent="0.4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3.9" x14ac:dyDescent="0.4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3.9" x14ac:dyDescent="0.4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3.9" x14ac:dyDescent="0.4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3.9" x14ac:dyDescent="0.4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3.9" x14ac:dyDescent="0.4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4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4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4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4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88</v>
      </c>
      <c r="C51" s="31"/>
      <c r="D51" s="18"/>
    </row>
    <row r="52" spans="2:10" ht="13.9" x14ac:dyDescent="0.4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90</v>
      </c>
      <c r="C53" s="95">
        <f>D4</f>
        <v>128.10000000000036</v>
      </c>
      <c r="D53" s="29">
        <f>IF(E53=0, 0,E53/C53)</f>
        <v>2.2319279128186378</v>
      </c>
      <c r="E53" s="95">
        <f>MAX(C53,C53*Dashboard!G23)</f>
        <v>285.90996563206829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164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3.9" x14ac:dyDescent="0.4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4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4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3.9" x14ac:dyDescent="0.4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3.9" x14ac:dyDescent="0.4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ht="14.25" thickBot="1" x14ac:dyDescent="0.45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ht="14.25" thickTop="1" x14ac:dyDescent="0.4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3.9" x14ac:dyDescent="0.4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ht="14.25" thickBot="1" x14ac:dyDescent="0.45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ht="14.25" thickTop="1" x14ac:dyDescent="0.4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4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4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4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4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4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4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4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4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4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45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4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4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4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170</v>
      </c>
      <c r="C89" s="21"/>
      <c r="H89" s="50" t="s">
        <v>146</v>
      </c>
    </row>
    <row r="90" spans="1:8" ht="15" customHeight="1" x14ac:dyDescent="0.4">
      <c r="B90" s="10" t="s">
        <v>171</v>
      </c>
      <c r="D90" s="212" t="s">
        <v>172</v>
      </c>
      <c r="E90" s="212"/>
      <c r="G90" s="94"/>
    </row>
    <row r="91" spans="1:8" ht="15" customHeight="1" x14ac:dyDescent="0.4">
      <c r="B91" s="1" t="s">
        <v>197</v>
      </c>
      <c r="C91" s="174" t="s">
        <v>222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141</v>
      </c>
      <c r="C95" s="102">
        <f>E85/(C92-F92)*Exchange_Rate</f>
        <v>44407.379357814811</v>
      </c>
      <c r="D95" s="155">
        <f>C95*Data!$E$3/Common_Shares</f>
        <v>30.369880183502548</v>
      </c>
    </row>
    <row r="96" spans="1:8" ht="15" customHeight="1" x14ac:dyDescent="0.4">
      <c r="B96" s="28" t="s">
        <v>158</v>
      </c>
      <c r="C96" s="102">
        <f>E82*Exchange_Rate</f>
        <v>258.75165925025937</v>
      </c>
      <c r="D96" s="155">
        <f>C96*Data!$E$3/Common_Shares</f>
        <v>0.17695835697473913</v>
      </c>
      <c r="E96" s="94"/>
      <c r="F96" s="138"/>
    </row>
    <row r="97" spans="2:6" ht="15" customHeight="1" thickBot="1" x14ac:dyDescent="0.45">
      <c r="B97" s="119" t="s">
        <v>159</v>
      </c>
      <c r="C97" s="123">
        <f>(E65+MIN(0,E70))*Exchange_Rate</f>
        <v>-14810.307809236845</v>
      </c>
      <c r="D97" s="156">
        <f>C97*Data!$E$3/Common_Shares</f>
        <v>-10.1286605999226</v>
      </c>
      <c r="E97" s="157" t="s">
        <v>144</v>
      </c>
      <c r="F97" s="158" t="s">
        <v>145</v>
      </c>
    </row>
    <row r="98" spans="2:6" ht="15" customHeight="1" thickTop="1" x14ac:dyDescent="0.4">
      <c r="B98" s="1" t="s">
        <v>120</v>
      </c>
      <c r="C98" s="102">
        <f>C95-C96+$C$97</f>
        <v>29338.319889327708</v>
      </c>
      <c r="D98" s="124">
        <f>MAX(C98*Data!$E$3/Common_Shares,0)</f>
        <v>20.064261226605208</v>
      </c>
      <c r="E98" s="124">
        <f>D98*(1-25%)</f>
        <v>15.048195919953905</v>
      </c>
      <c r="F98" s="124">
        <f>D98*1.25</f>
        <v>25.08032653325651</v>
      </c>
    </row>
    <row r="100" spans="2:6" ht="15" customHeight="1" x14ac:dyDescent="0.4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4">
      <c r="B101" s="1" t="s">
        <v>179</v>
      </c>
      <c r="C101" s="102">
        <f>D101*Common_Shares/Data!E3</f>
        <v>19428.849599604688</v>
      </c>
      <c r="D101" s="155">
        <f>E87/(C92-F92)*Exchange_Rate</f>
        <v>13.287247366905213</v>
      </c>
      <c r="E101" s="124">
        <f>D101*(1-25%)</f>
        <v>9.9654355251789095</v>
      </c>
      <c r="F101" s="124">
        <f>D101*1.25</f>
        <v>16.609059208631514</v>
      </c>
    </row>
    <row r="103" spans="2:6" ht="15" customHeight="1" x14ac:dyDescent="0.4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