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6E58D2E-FE89-4E2F-80B3-A269942CD6D3}" xr6:coauthVersionLast="47" xr6:coauthVersionMax="47" xr10:uidLastSave="{00000000-0000-0000-0000-000000000000}"/>
  <bookViews>
    <workbookView xWindow="1470" yWindow="1470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E95" i="4" l="1"/>
  <c r="F95" i="4"/>
  <c r="F96" i="4"/>
  <c r="E92" i="4"/>
  <c r="F97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<sst xmlns="http://schemas.openxmlformats.org/spreadsheetml/2006/main" count="405" uniqueCount="288">
  <si>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</si>
  <si>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</si>
  <si>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</si>
  <si>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</si>
  <si>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</si>
  <si>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</si>
  <si>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</si>
  <si>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</si>
  <si>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</si>
  <si>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</si>
  <si>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</si>
  <si>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</si>
  <si>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</si>
  <si>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</si>
  <si>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</si>
  <si>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</si>
  <si>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</si>
  <si>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</si>
  <si>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</si>
  <si>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</si>
  <si>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</si>
  <si>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</si>
  <si>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</si>
  <si>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</si>
  <si>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</si>
  <si>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</si>
  <si>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</si>
  <si>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</si>
  <si>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</si>
  <si>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</si>
  <si>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</si>
  <si>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</si>
  <si>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</si>
  <si>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</si>
  <si>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</si>
  <si>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</si>
  <si>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</si>
  <si>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</si>
  <si>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</si>
  <si>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</si>
  <si>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</si>
  <si>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</si>
  <si>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</si>
  <si>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</si>
  <si>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</si>
  <si>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</si>
  <si>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</si>
  <si>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</si>
  <si>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</si>
  <si>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</si>
  <si>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</si>
  <si>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</si>
  <si>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</si>
  <si>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</si>
  <si>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</si>
  <si>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</si>
  <si>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</si>
  <si>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</si>
  <si>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</si>
  <si>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</si>
  <si>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</si>
  <si>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</si>
  <si>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</si>
  <si>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</si>
  <si>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</si>
  <si>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</si>
  <si>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</si>
  <si>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</si>
  <si>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</si>
  <si>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</si>
  <si>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</si>
  <si>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</si>
  <si>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</si>
  <si>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</si>
  <si>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</si>
  <si>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</si>
  <si>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</si>
  <si>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</si>
  <si>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</si>
  <si>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</si>
  <si>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</si>
  <si>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</si>
  <si>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</si>
  <si>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</si>
  <si>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</si>
  <si>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</si>
  <si>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</si>
  <si>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</si>
  <si>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</si>
  <si>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</si>
  <si>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</si>
  <si>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</si>
  <si>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</si>
  <si>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</si>
  <si>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</si>
  <si>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</si>
  <si>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</si>
  <si>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</si>
  <si>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</si>
  <si>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</si>
  <si>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</si>
  <si>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</si>
  <si>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</si>
  <si>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</si>
  <si>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</si>
  <si>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</si>
  <si>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</si>
  <si>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</si>
  <si>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</si>
  <si>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</si>
  <si>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</si>
  <si>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</si>
  <si>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</si>
  <si>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</si>
  <si>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</si>
  <si>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</si>
  <si>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</si>
  <si>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</si>
  <si>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</si>
  <si>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</si>
  <si>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</si>
  <si>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</si>
  <si>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</si>
  <si>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</si>
  <si>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</si>
  <si>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</si>
  <si>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</si>
  <si>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</si>
  <si>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</si>
  <si>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</si>
  <si>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</si>
  <si>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</si>
  <si>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</si>
  <si>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</si>
  <si>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</si>
  <si>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</si>
  <si>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</si>
  <si>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</si>
  <si>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</si>
  <si>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</si>
  <si>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</si>
  <si>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</si>
  <si>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</si>
  <si>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</si>
  <si>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</si>
  <si>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</si>
  <si>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</si>
  <si>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</si>
  <si>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</si>
  <si>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</si>
  <si>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</si>
  <si>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</si>
  <si>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</si>
  <si>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</si>
  <si>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</si>
  <si>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</si>
  <si>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</si>
  <si>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</si>
  <si>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</si>
  <si>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</si>
  <si>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</si>
  <si>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</si>
  <si>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</si>
  <si>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</si>
  <si>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</si>
  <si>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</si>
  <si>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</si>
  <si>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</si>
  <si>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</si>
  <si>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</si>
  <si>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</si>
  <si>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</si>
  <si>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</si>
  <si>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</si>
  <si>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</si>
  <si>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</si>
  <si>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</si>
  <si>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</si>
  <si>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</si>
  <si>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</si>
  <si>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</si>
  <si>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</si>
  <si>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</si>
  <si>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</si>
  <si>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</si>
  <si>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</si>
  <si>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</si>
  <si>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</si>
  <si>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</si>
  <si>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</si>
  <si>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</si>
  <si>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</si>
  <si>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</si>
  <si>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</si>
  <si>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</si>
  <si>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</si>
  <si>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</si>
  <si>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</si>
  <si>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</si>
  <si>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</si>
  <si>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</si>
  <si>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</si>
  <si>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</si>
  <si>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</si>
  <si>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</si>
  <si>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</si>
  <si>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</si>
  <si>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</si>
  <si>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</si>
  <si>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</si>
  <si>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</si>
  <si>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</si>
  <si>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</si>
  <si>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</si>
  <si>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</si>
  <si>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</si>
  <si>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</si>
  <si>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</si>
  <si>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</si>
  <si>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</si>
  <si>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</si>
  <si>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</si>
  <si>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</si>
  <si>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</si>
  <si>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</si>
  <si>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</si>
  <si>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</si>
  <si>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</si>
  <si>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</si>
  <si>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</si>
  <si>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</si>
  <si>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</si>
  <si>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</si>
  <si>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</si>
  <si>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</si>
  <si>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</si>
  <si>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</si>
  <si>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</si>
  <si>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</si>
  <si>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</si>
  <si>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</si>
  <si>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</si>
  <si>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</si>
  <si>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</si>
  <si>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</si>
  <si>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</si>
  <si>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</si>
  <si>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</si>
  <si>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</si>
  <si>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</si>
  <si>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</si>
  <si>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</si>
  <si>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</si>
  <si>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</si>
  <si>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</si>
  <si>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</si>
  <si>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</si>
  <si>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</si>
  <si>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</si>
  <si>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</si>
  <si>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</si>
  <si>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</si>
  <si>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</si>
  <si>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</si>
  <si>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</si>
  <si>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</si>
  <si>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</si>
  <si>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</si>
  <si>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</si>
  <si>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</si>
  <si>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</si>
  <si>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</si>
  <si>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</si>
  <si>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</si>
  <si>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</si>
  <si>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</si>
  <si>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</si>
  <si>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</si>
  <si>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</si>
  <si>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</si>
  <si>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</si>
  <si>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0011.HK</t>
  </si>
  <si>
    <t>恒生銀行</t>
  </si>
  <si>
    <t xml:space="preserve">Superior Cycl. </t>
  </si>
  <si>
    <t>C0014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</si>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</sst>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281</v>
      </c>
      <c r="D4" s="66"/>
    </row>
    <row r="5" spans="1:5" x14ac:dyDescent="0.35">
      <c r="B5" s="46" t="s">
        <v>169</v>
      </c>
      <c r="C5" s="67" t="s">
        <v>282</v>
      </c>
    </row>
    <row r="6" spans="1:5" x14ac:dyDescent="0.35">
      <c r="B6" s="46" t="s">
        <v>268</v>
      </c>
      <c r="C6" s="68">
        <v>45606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283</v>
      </c>
    </row>
    <row r="9" spans="1:5" x14ac:dyDescent="0.35">
      <c r="B9" s="39" t="s">
        <v>190</v>
      </c>
      <c r="C9" s="119" t="s">
        <v>284</v>
      </c>
    </row>
    <row r="10" spans="1:5" x14ac:dyDescent="0.35">
      <c r="B10" s="39" t="s">
        <v>191</v>
      </c>
      <c r="C10" s="70">
        <v>1882267536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221</v>
      </c>
      <c r="C15" s="117" t="s">
        <v>165</v>
      </c>
    </row>
    <row r="16" spans="1:5" x14ac:dyDescent="0.35">
      <c r="B16" s="74" t="s">
        <v>89</v>
      </c>
      <c r="C16" s="120">
        <v>0.23499999999999999</v>
      </c>
      <c r="D16" s="75"/>
      <c r="E16" s="25" t="s">
        <v>251</v>
      </c>
    </row>
    <row r="17" spans="2:13" x14ac:dyDescent="0.35">
      <c r="B17" s="56" t="s">
        <v>197</v>
      </c>
      <c r="C17" s="121" t="s">
        <v>285</v>
      </c>
      <c r="D17" s="75"/>
    </row>
    <row r="18" spans="2:13" x14ac:dyDescent="0.35">
      <c r="B18" s="56" t="s">
        <v>210</v>
      </c>
      <c r="C18" s="121" t="s">
        <v>285</v>
      </c>
      <c r="D18" s="75"/>
    </row>
    <row r="19" spans="2:13" x14ac:dyDescent="0.35">
      <c r="B19" s="56" t="s">
        <v>211</v>
      </c>
      <c r="C19" s="121" t="s">
        <v>285</v>
      </c>
      <c r="D19" s="75"/>
    </row>
    <row r="20" spans="2:13" x14ac:dyDescent="0.35">
      <c r="B20" s="57" t="s">
        <v>200</v>
      </c>
      <c r="C20" s="121" t="s">
        <v>285</v>
      </c>
      <c r="D20" s="75"/>
    </row>
    <row r="21" spans="2:13" x14ac:dyDescent="0.35">
      <c r="B21" s="2" t="s">
        <v>203</v>
      </c>
      <c r="C21" s="121" t="s">
        <v>285</v>
      </c>
      <c r="D21" s="75"/>
    </row>
    <row r="22" spans="2:13" ht="69.75" x14ac:dyDescent="0.35">
      <c r="B22" s="59" t="s">
        <v>202</v>
      </c>
      <c r="C22" s="122" t="s">
        <v>286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69317</v>
      </c>
      <c r="D25" s="77">
        <v>43948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2909</v>
      </c>
      <c r="D26" s="78">
        <v>2280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14624</v>
      </c>
      <c r="D27" s="78">
        <v>13795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27144</v>
      </c>
      <c r="D29" s="78">
        <v>9231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-14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-10</v>
      </c>
      <c r="D31" s="78">
        <v>-14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1542086</v>
      </c>
      <c r="D37" s="78">
        <v>1709844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>
        <v>526844</v>
      </c>
      <c r="D38" s="78">
        <v>544067</v>
      </c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166367</v>
      </c>
      <c r="D41" s="302">
        <v>168184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47</v>
      </c>
      <c r="D42" s="78">
        <v>53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3.2+1.2*3</f>
        <v>6.8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7.1353620146904509E-2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276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287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69317</v>
      </c>
      <c r="D91" s="98"/>
      <c r="E91" s="99">
        <f>C91</f>
        <v>69317</v>
      </c>
      <c r="F91" s="99">
        <f>C91</f>
        <v>69317</v>
      </c>
    </row>
    <row r="92" spans="2:8" x14ac:dyDescent="0.35">
      <c r="B92" s="100" t="s">
        <v>98</v>
      </c>
      <c r="C92" s="97">
        <f>C26</f>
        <v>2909</v>
      </c>
      <c r="D92" s="101">
        <f>C92/C91</f>
        <v>4.1966617135767562E-2</v>
      </c>
      <c r="E92" s="102">
        <f>E91*D92</f>
        <v>2909</v>
      </c>
      <c r="F92" s="102">
        <f>F91*D92</f>
        <v>2909</v>
      </c>
    </row>
    <row r="93" spans="2:8" x14ac:dyDescent="0.35">
      <c r="B93" s="100" t="s">
        <v>216</v>
      </c>
      <c r="C93" s="97">
        <f>C27+C28</f>
        <v>14624</v>
      </c>
      <c r="D93" s="101">
        <f>C93/C91</f>
        <v>0.2109727772407923</v>
      </c>
      <c r="E93" s="102">
        <f>E91*D93</f>
        <v>14624</v>
      </c>
      <c r="F93" s="102">
        <f>F91*D93</f>
        <v>14624</v>
      </c>
    </row>
    <row r="94" spans="2:8" x14ac:dyDescent="0.35">
      <c r="B94" s="100" t="s">
        <v>222</v>
      </c>
      <c r="C94" s="97">
        <f>C29</f>
        <v>27144</v>
      </c>
      <c r="D94" s="101">
        <f>C94/C91</f>
        <v>0.39159225009737869</v>
      </c>
      <c r="E94" s="103"/>
      <c r="F94" s="102">
        <f>F91*D94</f>
        <v>27144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181</v>
      </c>
      <c r="C98" s="104">
        <f>C44</f>
        <v>6.8</v>
      </c>
      <c r="D98" s="105"/>
      <c r="E98" s="106">
        <f>F98</f>
        <v>6.8</v>
      </c>
      <c r="F98" s="106">
        <f>C98</f>
        <v>6.8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0011.HK : 恒生銀行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168</v>
      </c>
      <c r="C3" s="316" t="str">
        <f>Inputs!C4</f>
        <v>0011.HK</v>
      </c>
      <c r="D3" s="317"/>
      <c r="E3" s="3"/>
      <c r="F3" s="9" t="s">
        <v>1</v>
      </c>
      <c r="G3" s="10">
        <v>95.3</v>
      </c>
      <c r="H3" s="11" t="s">
        <v>256</v>
      </c>
    </row>
    <row r="4" spans="1:10" ht="15.75" customHeight="1" x14ac:dyDescent="0.35">
      <c r="B4" s="12" t="s">
        <v>169</v>
      </c>
      <c r="C4" s="318" t="str">
        <f>Inputs!C5</f>
        <v>恒生銀行</v>
      </c>
      <c r="D4" s="319"/>
      <c r="E4" s="3"/>
      <c r="F4" s="9" t="s">
        <v>3</v>
      </c>
      <c r="G4" s="322">
        <f>Inputs!C10</f>
        <v>1882267536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45606</v>
      </c>
      <c r="D5" s="321"/>
      <c r="E5" s="16"/>
      <c r="F5" s="12" t="s">
        <v>92</v>
      </c>
      <c r="G5" s="314">
        <f>G3*G4/1000000</f>
        <v>179380.0961808</v>
      </c>
      <c r="H5" s="314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166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0.31135161135161138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0.74706060562344012</v>
      </c>
      <c r="F21" s="3"/>
      <c r="G21" s="34"/>
    </row>
    <row r="22" spans="1:8" ht="15.75" customHeight="1" x14ac:dyDescent="0.35">
      <c r="B22" s="35" t="s">
        <v>244</v>
      </c>
      <c r="C22" s="36">
        <f>Data!C50</f>
        <v>4.0572962791484458E-2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10.272083934583936</v>
      </c>
      <c r="F23" s="39" t="s">
        <v>164</v>
      </c>
      <c r="G23" s="40">
        <f>G3/(Data!C36*Data!C4/Common_Shares*Exchange_Rate)</f>
        <v>1.0782192152337904</v>
      </c>
    </row>
    <row r="24" spans="1:8" ht="15.75" customHeight="1" x14ac:dyDescent="0.35">
      <c r="B24" s="41" t="s">
        <v>239</v>
      </c>
      <c r="C24" s="42">
        <f>Fin_Analysis!I81</f>
        <v>0.39159225009737869</v>
      </c>
      <c r="F24" s="39" t="s">
        <v>224</v>
      </c>
      <c r="G24" s="43">
        <f>G3/(Fin_Analysis!H86*G7)</f>
        <v>9.5163874130379433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152</v>
      </c>
      <c r="G25" s="44">
        <f>Fin_Analysis!I88</f>
        <v>0.67902869264069265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167</v>
      </c>
      <c r="G26" s="47">
        <f>Fin_Analysis!H88*Exchange_Rate/G3</f>
        <v>7.1353620146904509E-2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2" t="s">
        <v>223</v>
      </c>
      <c r="H28" s="312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79.159884762186095</v>
      </c>
      <c r="D29" s="54">
        <f>G29*(1+G20)</f>
        <v>140.26249902366783</v>
      </c>
      <c r="E29" s="3"/>
      <c r="F29" s="55">
        <f>IF(Fin_Analysis!C108="Profit",Fin_Analysis!F100,IF(Fin_Analysis!C108="Dividend",Fin_Analysis!F103,Fin_Analysis!F106))</f>
        <v>93.129276190807175</v>
      </c>
      <c r="G29" s="313">
        <f>IF(Fin_Analysis!C108="Profit",Fin_Analysis!I100,IF(Fin_Analysis!C108="Dividend",Fin_Analysis!I103,Fin_Analysis!I106))</f>
        <v>121.96739045536333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agree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agree</v>
      </c>
    </row>
    <row r="37" spans="1:4" ht="15.75" customHeight="1" x14ac:dyDescent="0.35">
      <c r="B37" s="56" t="s">
        <v>211</v>
      </c>
      <c r="C37" s="112" t="str">
        <f>Inputs!C19</f>
        <v>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agree</v>
      </c>
    </row>
    <row r="40" spans="1:4" ht="15.75" customHeight="1" x14ac:dyDescent="0.35">
      <c r="B40" s="2" t="s">
        <v>203</v>
      </c>
      <c r="C40" s="112" t="str">
        <f>Inputs!C21</f>
        <v>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 t="str">
        <f>H14</f>
        <v/>
      </c>
      <c r="G3" s="139">
        <f>C14</f>
        <v>51784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69317</v>
      </c>
      <c r="D6" s="142">
        <f>IF(Inputs!D25="","",Inputs!D25)</f>
        <v>43948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0.57725038682078811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2909</v>
      </c>
      <c r="D8" s="144">
        <f>IF(Inputs!D26="","",Inputs!D26)</f>
        <v>2280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66408</v>
      </c>
      <c r="D9" s="273">
        <f t="shared" si="2"/>
        <v>41668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14624</v>
      </c>
      <c r="D10" s="144">
        <f>IF(Inputs!D27="","",Inputs!D27)</f>
        <v>13795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0.74706060562344012</v>
      </c>
      <c r="D13" s="292">
        <f t="shared" si="3"/>
        <v>0.63422681350687171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51784</v>
      </c>
      <c r="D14" s="294">
        <f t="shared" ref="D14:M14" si="4">IF(D6="","",D9-D10-MAX(D11,0)-MAX(D12,0))</f>
        <v>27873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0.85785527212714818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-27887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-14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27144</v>
      </c>
      <c r="D19" s="144">
        <f>IF(Inputs!D29="","",Inputs!D29)</f>
        <v>9231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24640</v>
      </c>
      <c r="D24" s="309">
        <f t="shared" si="9"/>
        <v>18642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0.27193329197743699</v>
      </c>
      <c r="D25" s="143">
        <f t="shared" si="10"/>
        <v>0.32450009101665606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18849.599999999999</v>
      </c>
      <c r="D26" s="276">
        <f>IF(D6="","",D24*(1-Fin_Analysis!$I$84))</f>
        <v>14261.130000000001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0.3217465937131207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1708453</v>
      </c>
      <c r="D29" s="147">
        <f>IF(D36="","",D36+D32)</f>
        <v>1878028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1542086</v>
      </c>
      <c r="D32" s="144">
        <f>IF(Inputs!D37="","",Inputs!D37)</f>
        <v>1709844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166367</v>
      </c>
      <c r="D36" s="144">
        <f>IF(Inputs!D41="","",Inputs!D41)</f>
        <v>168184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47</v>
      </c>
      <c r="D37" s="144">
        <f>IF(Inputs!D42="","",Inputs!D42)</f>
        <v>53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1708453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3.0310462154943683E-2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4.1966617135767562E-2</v>
      </c>
      <c r="D42" s="150">
        <f t="shared" si="35"/>
        <v>5.1879493947392372E-2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0.2109727772407923</v>
      </c>
      <c r="D43" s="146">
        <f t="shared" si="36"/>
        <v>0.31389369254573585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0.39159225009737869</v>
      </c>
      <c r="D45" s="146">
        <f t="shared" si="38"/>
        <v>0.21004368799490306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0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0.35546835552606143</v>
      </c>
      <c r="D48" s="281">
        <f t="shared" si="41"/>
        <v>0.42418312551196868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4.0572962791484458E-2</v>
      </c>
      <c r="D50" s="153">
        <f t="shared" si="42"/>
        <v>2.3401142049000335E-2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9.7351229445586149E-2</v>
      </c>
      <c r="D55" s="150">
        <f t="shared" si="46"/>
        <v>8.9525289292811394E-2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1.1016233766233767</v>
      </c>
      <c r="D57" s="146">
        <f t="shared" si="48"/>
        <v>0.49517219182491151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0.30837488652014422</v>
      </c>
      <c r="D58" s="146">
        <f>IF(D36="","",IF(Inputs!D38=0,0,Inputs!D38/D29))</f>
        <v>0.28970121851218406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0.31135161135161138</v>
      </c>
      <c r="D60" s="156">
        <f t="shared" si="50"/>
        <v>0.16578144423098656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0.14814814814814814</v>
      </c>
      <c r="D61" s="156">
        <f t="shared" si="51"/>
        <v>0.11087782740838989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166367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166320</v>
      </c>
      <c r="K3" s="75"/>
    </row>
    <row r="4" spans="1:11" ht="15" customHeight="1" x14ac:dyDescent="0.35">
      <c r="B4" s="9" t="s">
        <v>22</v>
      </c>
      <c r="C4" s="3"/>
      <c r="D4" s="144">
        <f>Inputs!C42</f>
        <v>47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-1542136.6763031159</v>
      </c>
      <c r="E6" s="170">
        <f>1-D6/D3</f>
        <v>10.269486594715994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273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1542086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1542086</v>
      </c>
      <c r="J48" s="187"/>
    </row>
    <row r="49" spans="2:11" ht="15" customHeight="1" thickTop="1" x14ac:dyDescent="0.35">
      <c r="B49" s="9" t="s">
        <v>14</v>
      </c>
      <c r="C49" s="184">
        <f>Inputs!C41+Inputs!C37</f>
        <v>1708453</v>
      </c>
      <c r="D49" s="170">
        <f>E49/C49</f>
        <v>0</v>
      </c>
      <c r="E49" s="176">
        <f>E28+E48</f>
        <v>0</v>
      </c>
      <c r="F49" s="3"/>
      <c r="G49" s="3"/>
      <c r="H49" s="9" t="s">
        <v>79</v>
      </c>
      <c r="I49" s="175">
        <f>Inputs!C37</f>
        <v>1542086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47</v>
      </c>
      <c r="D53" s="34">
        <f>IF(E53=0, 0,E53/C53)</f>
        <v>1.0782192152337904</v>
      </c>
      <c r="E53" s="176">
        <f>IF(C53=0,0,MAX(C53,C53*Dashboard!G23))</f>
        <v>50.676303115988148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-819.27035902509454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-819.27035902509454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-819.27035902509454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1708453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1542086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166367</v>
      </c>
      <c r="D70" s="34">
        <f t="shared" si="2"/>
        <v>-9.2691819892166123</v>
      </c>
      <c r="E70" s="202">
        <f>E68-E69</f>
        <v>-1542086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69317</v>
      </c>
      <c r="D74" s="98"/>
      <c r="E74" s="256">
        <f>Inputs!E91</f>
        <v>69317</v>
      </c>
      <c r="F74" s="98"/>
      <c r="H74" s="256">
        <f>Inputs!F91</f>
        <v>69317</v>
      </c>
      <c r="I74" s="98"/>
      <c r="K74" s="75"/>
    </row>
    <row r="75" spans="1:11" ht="15" customHeight="1" x14ac:dyDescent="0.35">
      <c r="B75" s="100" t="s">
        <v>98</v>
      </c>
      <c r="C75" s="97">
        <f>Data!C8</f>
        <v>2909</v>
      </c>
      <c r="D75" s="101">
        <f>C75/$C$74</f>
        <v>4.1966617135767562E-2</v>
      </c>
      <c r="E75" s="256">
        <f>Inputs!E92</f>
        <v>2909</v>
      </c>
      <c r="F75" s="211">
        <f>E75/E74</f>
        <v>4.1966617135767562E-2</v>
      </c>
      <c r="H75" s="256">
        <f>Inputs!F92</f>
        <v>2909</v>
      </c>
      <c r="I75" s="211">
        <f>H75/$H$74</f>
        <v>4.1966617135767562E-2</v>
      </c>
      <c r="K75" s="75"/>
    </row>
    <row r="76" spans="1:11" ht="15" customHeight="1" x14ac:dyDescent="0.35">
      <c r="B76" s="12" t="s">
        <v>88</v>
      </c>
      <c r="C76" s="145">
        <f>C74-C75</f>
        <v>66408</v>
      </c>
      <c r="D76" s="212"/>
      <c r="E76" s="213">
        <f>E74-E75</f>
        <v>66408</v>
      </c>
      <c r="F76" s="212"/>
      <c r="H76" s="213">
        <f>H74-H75</f>
        <v>66408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14624</v>
      </c>
      <c r="D77" s="101">
        <f>C77/$C$74</f>
        <v>0.2109727772407923</v>
      </c>
      <c r="E77" s="256">
        <f>Inputs!E93</f>
        <v>14624</v>
      </c>
      <c r="F77" s="211">
        <f>E77/E74</f>
        <v>0.2109727772407923</v>
      </c>
      <c r="H77" s="256">
        <f>Inputs!F93</f>
        <v>14624</v>
      </c>
      <c r="I77" s="211">
        <f>H77/$H$74</f>
        <v>0.2109727772407923</v>
      </c>
      <c r="K77" s="75"/>
    </row>
    <row r="78" spans="1:11" ht="15" customHeight="1" x14ac:dyDescent="0.35">
      <c r="B78" s="93" t="s">
        <v>151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204</v>
      </c>
      <c r="C79" s="216">
        <f>C76-C77-C78</f>
        <v>51784</v>
      </c>
      <c r="D79" s="217">
        <f>C79/C74</f>
        <v>0.74706060562344012</v>
      </c>
      <c r="E79" s="218">
        <f>E76-E77-E78</f>
        <v>51784</v>
      </c>
      <c r="F79" s="217">
        <f>E79/E74</f>
        <v>0.74706060562344012</v>
      </c>
      <c r="G79" s="219"/>
      <c r="H79" s="218">
        <f>H76-H77-H78</f>
        <v>51784</v>
      </c>
      <c r="I79" s="217">
        <f>H79/H74</f>
        <v>0.74706060562344012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222</v>
      </c>
      <c r="C81" s="97">
        <f>MAX(Data!C19,0)</f>
        <v>27144</v>
      </c>
      <c r="D81" s="101">
        <f>C81/$C$74</f>
        <v>0.39159225009737869</v>
      </c>
      <c r="E81" s="214">
        <f>E74*F81</f>
        <v>27144</v>
      </c>
      <c r="F81" s="211">
        <f>I81</f>
        <v>0.39159225009737869</v>
      </c>
      <c r="H81" s="256">
        <f>Inputs!F94</f>
        <v>27144</v>
      </c>
      <c r="I81" s="211">
        <f>H81/$H$74</f>
        <v>0.39159225009737869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24640</v>
      </c>
      <c r="D83" s="223">
        <f>C83/$C$74</f>
        <v>0.35546835552606143</v>
      </c>
      <c r="E83" s="224">
        <f>E79-E81-E82-E80</f>
        <v>24640</v>
      </c>
      <c r="F83" s="223">
        <f>E83/E74</f>
        <v>0.35546835552606143</v>
      </c>
      <c r="H83" s="224">
        <f>H79-H81-H82-H80</f>
        <v>24640</v>
      </c>
      <c r="I83" s="223">
        <f>H83/$H$74</f>
        <v>0.35546835552606143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0.23499999999999999</v>
      </c>
      <c r="E84" s="226"/>
      <c r="F84" s="227">
        <f t="shared" ref="F84" si="3">I84</f>
        <v>0.23499999999999999</v>
      </c>
      <c r="H84" s="226"/>
      <c r="I84" s="257">
        <f>Inputs!C16</f>
        <v>0.23499999999999999</v>
      </c>
      <c r="K84" s="75"/>
    </row>
    <row r="85" spans="1:11" ht="15" customHeight="1" x14ac:dyDescent="0.35">
      <c r="B85" s="228" t="s">
        <v>147</v>
      </c>
      <c r="C85" s="216">
        <f>C83*(1-I84)</f>
        <v>18849.599999999999</v>
      </c>
      <c r="D85" s="217">
        <f>C85/$C$74</f>
        <v>0.27193329197743699</v>
      </c>
      <c r="E85" s="229">
        <f>E83*(1-F84)</f>
        <v>18849.599999999999</v>
      </c>
      <c r="F85" s="217">
        <f>E85/E74</f>
        <v>0.27193329197743699</v>
      </c>
      <c r="G85" s="219"/>
      <c r="H85" s="229">
        <f>H83*(1-I84)</f>
        <v>18849.599999999999</v>
      </c>
      <c r="I85" s="217">
        <f>H85/$H$74</f>
        <v>0.27193329197743699</v>
      </c>
      <c r="K85" s="75"/>
    </row>
    <row r="86" spans="1:11" ht="15" customHeight="1" x14ac:dyDescent="0.35">
      <c r="B86" s="3" t="s">
        <v>144</v>
      </c>
      <c r="C86" s="230">
        <f>C85*Data!C4/Common_Shares</f>
        <v>10.014304364010451</v>
      </c>
      <c r="D86" s="98"/>
      <c r="E86" s="231">
        <f>E85*Data!C4/Common_Shares</f>
        <v>10.014304364010451</v>
      </c>
      <c r="F86" s="98"/>
      <c r="H86" s="231">
        <f>H85*Data!C4/Common_Shares</f>
        <v>10.014304364010451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0.10508189259192499</v>
      </c>
      <c r="D87" s="98"/>
      <c r="E87" s="233">
        <f>E86*Exchange_Rate/Dashboard!G3</f>
        <v>0.10508189259192499</v>
      </c>
      <c r="F87" s="98"/>
      <c r="H87" s="233">
        <f>H86*Exchange_Rate/Dashboard!G3</f>
        <v>0.10508189259192499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6.8</v>
      </c>
      <c r="D88" s="235">
        <f>C88/C86</f>
        <v>0.67902869264069265</v>
      </c>
      <c r="E88" s="255">
        <f>Inputs!E98</f>
        <v>6.8</v>
      </c>
      <c r="F88" s="235">
        <f>E88/E86</f>
        <v>0.67902869264069265</v>
      </c>
      <c r="H88" s="255">
        <f>Inputs!F98</f>
        <v>6.8</v>
      </c>
      <c r="I88" s="235">
        <f>H88/H86</f>
        <v>0.67902869264069265</v>
      </c>
      <c r="K88" s="75"/>
    </row>
    <row r="89" spans="1:11" ht="15" customHeight="1" x14ac:dyDescent="0.35">
      <c r="B89" s="3" t="s">
        <v>194</v>
      </c>
      <c r="C89" s="232">
        <f>C88*Exchange_Rate/Dashboard!G3</f>
        <v>7.1353620146904509E-2</v>
      </c>
      <c r="D89" s="98"/>
      <c r="E89" s="232">
        <f>E88*Exchange_Rate/Dashboard!G3</f>
        <v>7.1353620146904509E-2</v>
      </c>
      <c r="F89" s="98"/>
      <c r="H89" s="232">
        <f>H88*Exchange_Rate/Dashboard!G3</f>
        <v>7.1353620146904509E-2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271.54133476881486</v>
      </c>
      <c r="H93" s="3" t="s">
        <v>183</v>
      </c>
      <c r="I93" s="237">
        <f>FV(H87,D93,0,-(H86/(C93-D94)))*Exchange_Rate</f>
        <v>271.54133476881486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162.88368611569788</v>
      </c>
      <c r="H94" s="3" t="s">
        <v>184</v>
      </c>
      <c r="I94" s="237">
        <f>FV(H89,D93,0,-(H88/(C93-D94)))*Exchange_Rate</f>
        <v>162.88368611569788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292230.76768161828</v>
      </c>
      <c r="D97" s="244"/>
      <c r="E97" s="245">
        <f>PV(C94,D93,0,-F93)</f>
        <v>155.25463946673429</v>
      </c>
      <c r="F97" s="244"/>
      <c r="H97" s="245">
        <f>PV(C94,D93,0,-I93)</f>
        <v>155.25463946673429</v>
      </c>
      <c r="I97" s="245">
        <f>PV(C93,D93,0,-I93)</f>
        <v>203.33029533107253</v>
      </c>
      <c r="K97" s="75"/>
    </row>
    <row r="98" spans="2:11" ht="15" customHeight="1" x14ac:dyDescent="0.35">
      <c r="B98" s="18" t="s">
        <v>133</v>
      </c>
      <c r="C98" s="243">
        <f>-E53*Exchange_Rate</f>
        <v>-50.676303115988148</v>
      </c>
      <c r="D98" s="244"/>
      <c r="E98" s="244"/>
      <c r="F98" s="244"/>
      <c r="H98" s="245">
        <f>C98*Data!$C$4/Common_Shares</f>
        <v>-2.6923007567606558E-2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-1542086</v>
      </c>
      <c r="D99" s="248"/>
      <c r="E99" s="249">
        <f>IF(H99&gt;0,I64,H99)</f>
        <v>-819.27035902509454</v>
      </c>
      <c r="F99" s="248"/>
      <c r="H99" s="249">
        <f>I64</f>
        <v>-819.27035902509454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79.159884762186095</v>
      </c>
      <c r="E103" s="245">
        <f>PV(C94,D93,0,-F94)</f>
        <v>93.129276190807175</v>
      </c>
      <c r="F103" s="251">
        <f>(E103+H103)/2</f>
        <v>93.129276190807175</v>
      </c>
      <c r="H103" s="245">
        <f>PV(C94,D93,0,-I94)</f>
        <v>93.129276190807175</v>
      </c>
      <c r="I103" s="251">
        <f>PV(C93,D93,0,-I94)</f>
        <v>121.96739045536333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39.579942381093048</v>
      </c>
      <c r="E106" s="245">
        <f>(E100+E103)/2</f>
        <v>46.564638095403588</v>
      </c>
      <c r="F106" s="251">
        <f>(F100+F103)/2</f>
        <v>46.564638095403588</v>
      </c>
      <c r="H106" s="245">
        <f>(H100+H103)/2</f>
        <v>46.564638095403588</v>
      </c>
      <c r="I106" s="245">
        <f>(I100+I103)/2</f>
        <v>60.983695227681665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