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6E74ABC4-6321-46C8-8A84-FF11EF18B75F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D69" i="4"/>
  <c r="D68" i="4"/>
  <c r="D63" i="4"/>
  <c r="D62" i="4"/>
  <c r="D61" i="4"/>
  <c r="D60" i="4"/>
  <c r="D59" i="4"/>
  <c r="D58" i="4"/>
  <c r="D71" i="4" s="1"/>
  <c r="D55" i="4"/>
  <c r="D50" i="4"/>
  <c r="D56" i="4" s="1"/>
  <c r="D53" i="4" l="1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E91" i="4" l="1"/>
  <c r="F91" i="4"/>
  <c r="I12" i="2"/>
  <c r="J12" i="2"/>
  <c r="K12" i="2"/>
  <c r="L12" i="2"/>
  <c r="M12" i="2"/>
  <c r="F96" i="4" l="1"/>
  <c r="E88" i="3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F97" i="4" s="1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F93" i="4" l="1"/>
  <c r="E93" i="4"/>
  <c r="F92" i="4"/>
  <c r="E92" i="4"/>
  <c r="H75" i="3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95" i="4" l="1"/>
  <c r="F95" i="4"/>
  <c r="E82" i="3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 s="1"/>
</calcChain>
</file>

<file path=xl/sharedStrings.xml><?xml version="1.0" encoding="utf-8"?>
<sst xmlns="http://schemas.openxmlformats.org/spreadsheetml/2006/main" count="406" uniqueCount="291">
  <si>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</si>
  <si>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</si>
  <si>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</si>
  <si>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</si>
  <si>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</si>
  <si>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</si>
  <si>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</si>
  <si>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</si>
  <si>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</si>
  <si>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</si>
  <si>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</si>
  <si>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</si>
  <si>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</si>
  <si>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</si>
  <si>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</si>
  <si>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</si>
  <si>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</si>
  <si>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</si>
  <si>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</si>
  <si>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</si>
  <si>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</si>
  <si>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</si>
  <si>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</si>
  <si>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</si>
  <si>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</si>
  <si>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</si>
  <si>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</si>
  <si>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</si>
  <si>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</si>
  <si>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</si>
  <si>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</si>
  <si>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</si>
  <si>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</si>
  <si>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</si>
  <si>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</si>
  <si>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</si>
  <si>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</si>
  <si>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</si>
  <si>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</si>
  <si>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</si>
  <si>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</si>
  <si>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</si>
  <si>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</si>
  <si>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</si>
  <si>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</si>
  <si>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</si>
  <si>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</si>
  <si>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</si>
  <si>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</si>
  <si>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</si>
  <si>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</si>
  <si>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</si>
  <si>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</si>
  <si>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</si>
  <si>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</si>
  <si>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</si>
  <si>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</si>
  <si>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</si>
  <si>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</si>
  <si>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</si>
  <si>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</si>
  <si>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</si>
  <si>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</si>
  <si>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</si>
  <si>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</si>
  <si>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</si>
  <si>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</si>
  <si>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</si>
  <si>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</si>
  <si>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</si>
  <si>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</si>
  <si>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</si>
  <si>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</si>
  <si>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</si>
  <si>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</si>
  <si>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</si>
  <si>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</si>
  <si>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</si>
  <si>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</si>
  <si>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</si>
  <si>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</si>
  <si>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</si>
  <si>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</si>
  <si>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</si>
  <si>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</si>
  <si>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</si>
  <si>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</si>
  <si>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</si>
  <si>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</si>
  <si>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</si>
  <si>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</si>
  <si>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</si>
  <si>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</si>
  <si>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</si>
  <si>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</si>
  <si>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</si>
  <si>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</si>
  <si>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</si>
  <si>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</si>
  <si>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</si>
  <si>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</si>
  <si>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</si>
  <si>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</si>
  <si>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</si>
  <si>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</si>
  <si>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</si>
  <si>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</si>
  <si>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</si>
  <si>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</si>
  <si>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</si>
  <si>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</si>
  <si>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</si>
  <si>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</si>
  <si>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</si>
  <si>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</si>
  <si>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</si>
  <si>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</si>
  <si>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</si>
  <si>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</si>
  <si>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</si>
  <si>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</si>
  <si>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</si>
  <si>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</si>
  <si>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</si>
  <si>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</si>
  <si>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</si>
  <si>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</si>
  <si>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</si>
  <si>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</si>
  <si>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</si>
  <si>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</si>
  <si>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</si>
  <si>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</si>
  <si>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</si>
  <si>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</si>
  <si>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</si>
  <si>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</si>
  <si>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</si>
  <si>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</si>
  <si>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</si>
  <si>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</si>
  <si>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</si>
  <si>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</si>
  <si>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</si>
  <si>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</si>
  <si>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</si>
  <si>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</si>
  <si>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</si>
  <si>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</si>
  <si>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</si>
  <si>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</si>
  <si>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</si>
  <si>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</si>
  <si>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</si>
  <si>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</si>
  <si>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</si>
  <si>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</si>
  <si>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</si>
  <si>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</si>
  <si>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</si>
  <si>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</si>
  <si>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</si>
  <si>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</si>
  <si>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</si>
  <si>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</si>
  <si>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</si>
  <si>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</si>
  <si>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</si>
  <si>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</si>
  <si>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</si>
  <si>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</si>
  <si>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</si>
  <si>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</si>
  <si>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</si>
  <si>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</si>
  <si>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</si>
  <si>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</si>
  <si>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</si>
  <si>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</si>
  <si>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</si>
  <si>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</si>
  <si>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</si>
  <si>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</si>
  <si>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</si>
  <si>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</si>
  <si>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</si>
  <si>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</si>
  <si>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</si>
  <si>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</si>
  <si>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</si>
  <si>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</si>
  <si>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</si>
  <si>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</si>
  <si>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</si>
  <si>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</si>
  <si>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</si>
  <si>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</si>
  <si>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</si>
  <si>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</si>
  <si>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</si>
  <si>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</si>
  <si>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</si>
  <si>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</si>
  <si>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</si>
  <si>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</si>
  <si>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</si>
  <si>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</si>
  <si>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</si>
  <si>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</si>
  <si>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</si>
  <si>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</si>
  <si>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</si>
  <si>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</si>
  <si>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</si>
  <si>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</si>
  <si>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</si>
  <si>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</si>
  <si>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</si>
  <si>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</si>
  <si>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</si>
  <si>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</si>
  <si>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</si>
  <si>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</si>
  <si>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</si>
  <si>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</si>
  <si>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</si>
  <si>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</si>
  <si>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</si>
  <si>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</si>
  <si>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</si>
  <si>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</si>
  <si>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</si>
  <si>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</si>
  <si>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</si>
  <si>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</si>
  <si>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</si>
  <si>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</si>
  <si>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</si>
  <si>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</si>
  <si>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</si>
  <si>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</si>
  <si>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</si>
  <si>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</si>
  <si>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</si>
  <si>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</si>
  <si>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</si>
  <si>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</si>
  <si>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</si>
  <si>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</si>
  <si>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</si>
  <si>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</si>
  <si>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</si>
  <si>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</si>
  <si>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</si>
  <si>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</si>
  <si>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</si>
  <si>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</si>
  <si>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</si>
  <si>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</si>
  <si>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</si>
  <si>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</si>
  <si>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</si>
  <si>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</si>
  <si>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</si>
  <si>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</si>
  <si>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</si>
  <si>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</si>
  <si>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</si>
  <si>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</si>
  <si>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</si>
  <si>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</si>
  <si>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</si>
  <si>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</si>
  <si>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</si>
  <si>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</si>
  <si>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</si>
  <si>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</si>
  <si>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</si>
  <si>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</si>
  <si>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</si>
  <si>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</si>
  <si>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</si>
  <si>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0083.HK</t>
  </si>
  <si>
    <t>HOLD</t>
  </si>
  <si>
    <t>SINO LAND</t>
  </si>
  <si>
    <t>Tier 3</t>
  </si>
  <si>
    <t>C0005</t>
  </si>
  <si>
    <t>Strongly agree</t>
  </si>
  <si>
    <t>agree</t>
  </si>
  <si>
    <t>Consumer Monopoly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</si>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</sst>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10" zoomScaleNormal="100" workbookViewId="0">
      <selection activeCell="D39" sqref="D39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282</v>
      </c>
      <c r="D4" s="66" t="s">
        <v>283</v>
      </c>
    </row>
    <row r="5" spans="1:5" x14ac:dyDescent="0.35">
      <c r="B5" s="46" t="s">
        <v>169</v>
      </c>
      <c r="C5" s="67" t="s">
        <v>284</v>
      </c>
    </row>
    <row r="6" spans="1:5" x14ac:dyDescent="0.35">
      <c r="B6" s="46" t="s">
        <v>269</v>
      </c>
      <c r="C6" s="68">
        <v>45593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285</v>
      </c>
    </row>
    <row r="9" spans="1:5" x14ac:dyDescent="0.35">
      <c r="B9" s="39" t="s">
        <v>190</v>
      </c>
      <c r="C9" s="119" t="s">
        <v>286</v>
      </c>
    </row>
    <row r="10" spans="1:5" x14ac:dyDescent="0.35">
      <c r="B10" s="39" t="s">
        <v>191</v>
      </c>
      <c r="C10" s="70">
        <v>8171879936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45473</v>
      </c>
    </row>
    <row r="13" spans="1:5" x14ac:dyDescent="0.35">
      <c r="B13" s="71" t="s">
        <v>11</v>
      </c>
      <c r="C13" s="73">
        <v>1000000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222</v>
      </c>
      <c r="C15" s="117" t="s">
        <v>165</v>
      </c>
    </row>
    <row r="16" spans="1:5" x14ac:dyDescent="0.35">
      <c r="B16" s="74" t="s">
        <v>89</v>
      </c>
      <c r="C16" s="120">
        <v>0.20500000000000002</v>
      </c>
      <c r="D16" s="75"/>
      <c r="E16" s="25" t="s">
        <v>252</v>
      </c>
    </row>
    <row r="17" spans="2:13" x14ac:dyDescent="0.35">
      <c r="B17" s="56" t="s">
        <v>197</v>
      </c>
      <c r="C17" s="121" t="s">
        <v>287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288</v>
      </c>
      <c r="D19" s="75"/>
    </row>
    <row r="20" spans="2:13" x14ac:dyDescent="0.35">
      <c r="B20" s="57" t="s">
        <v>200</v>
      </c>
      <c r="C20" s="121" t="s">
        <v>288</v>
      </c>
      <c r="D20" s="75"/>
    </row>
    <row r="21" spans="2:13" x14ac:dyDescent="0.35">
      <c r="B21" s="2" t="s">
        <v>203</v>
      </c>
      <c r="C21" s="121" t="s">
        <v>287</v>
      </c>
      <c r="D21" s="75"/>
    </row>
    <row r="22" spans="2:13" ht="69.75" x14ac:dyDescent="0.35">
      <c r="B22" s="59" t="s">
        <v>202</v>
      </c>
      <c r="C22" s="122" t="s">
        <v>289</v>
      </c>
      <c r="D22" s="75"/>
    </row>
    <row r="24" spans="2:13" x14ac:dyDescent="0.35">
      <c r="B24" s="76" t="s">
        <v>278</v>
      </c>
      <c r="C24" s="286">
        <f>C12</f>
        <v>45473</v>
      </c>
      <c r="D24" s="287">
        <f>EOMONTH(EDATE(C24,-12),0)</f>
        <v>45107</v>
      </c>
      <c r="E24" s="287">
        <f t="shared" ref="E24:M24" si="0">EOMONTH(EDATE(D24,-12),0)</f>
        <v>44742</v>
      </c>
      <c r="F24" s="287">
        <f t="shared" si="0"/>
        <v>44377</v>
      </c>
      <c r="G24" s="287">
        <f t="shared" si="0"/>
        <v>44012</v>
      </c>
      <c r="H24" s="287">
        <f t="shared" si="0"/>
        <v>43646</v>
      </c>
      <c r="I24" s="287">
        <f t="shared" si="0"/>
        <v>43281</v>
      </c>
      <c r="J24" s="287">
        <f t="shared" si="0"/>
        <v>42916</v>
      </c>
      <c r="K24" s="287">
        <f t="shared" si="0"/>
        <v>42551</v>
      </c>
      <c r="L24" s="287">
        <f t="shared" si="0"/>
        <v>42185</v>
      </c>
      <c r="M24" s="287">
        <f t="shared" si="0"/>
        <v>41820</v>
      </c>
    </row>
    <row r="25" spans="2:13" x14ac:dyDescent="0.35">
      <c r="B25" s="263" t="s">
        <v>12</v>
      </c>
      <c r="C25" s="77">
        <v>8765</v>
      </c>
      <c r="D25" s="77">
        <v>11881</v>
      </c>
      <c r="E25" s="77">
        <v>15554</v>
      </c>
      <c r="F25" s="77">
        <v>24545</v>
      </c>
      <c r="G25" s="77">
        <v>5887</v>
      </c>
      <c r="H25" s="77"/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5344</v>
      </c>
      <c r="D26" s="78">
        <v>6492</v>
      </c>
      <c r="E26" s="78">
        <v>7302</v>
      </c>
      <c r="F26" s="78">
        <v>11011</v>
      </c>
      <c r="G26" s="78">
        <v>2437</v>
      </c>
      <c r="H26" s="78"/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v>1084</v>
      </c>
      <c r="D27" s="78">
        <v>1129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94</v>
      </c>
      <c r="D29" s="78">
        <v>96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>
        <v>4402</v>
      </c>
      <c r="D30" s="302">
        <v>5849</v>
      </c>
      <c r="E30" s="302">
        <v>5735</v>
      </c>
      <c r="F30" s="302">
        <v>9646</v>
      </c>
      <c r="G30" s="302">
        <v>1688</v>
      </c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-151</v>
      </c>
      <c r="D31" s="78">
        <v>31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>
        <v>910</v>
      </c>
      <c r="D32" s="78">
        <v>2541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>
        <v>160</v>
      </c>
      <c r="D33" s="78">
        <v>198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>
        <v>69</v>
      </c>
      <c r="D34" s="78">
        <v>108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>
        <v>7251</v>
      </c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>
        <v>16389</v>
      </c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>
        <v>14028</v>
      </c>
      <c r="D37" s="78">
        <v>10902</v>
      </c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/>
      <c r="D38" s="78">
        <v>5263</v>
      </c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166316</v>
      </c>
      <c r="D41" s="302">
        <v>163105</v>
      </c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526</v>
      </c>
      <c r="D42" s="78">
        <v>756</v>
      </c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v>0.57999999999999996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7.3604060913705582E-2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>
        <v>45574</v>
      </c>
      <c r="D48" s="109">
        <v>0.9</v>
      </c>
      <c r="E48" s="260"/>
    </row>
    <row r="49" spans="2:5" x14ac:dyDescent="0.35">
      <c r="B49" s="2" t="s">
        <v>124</v>
      </c>
      <c r="C49" s="86">
        <v>843</v>
      </c>
      <c r="D49" s="109">
        <v>0.8</v>
      </c>
      <c r="E49" s="260"/>
    </row>
    <row r="50" spans="2:5" x14ac:dyDescent="0.35">
      <c r="B50" s="9" t="s">
        <v>106</v>
      </c>
      <c r="C50" s="86">
        <v>8192</v>
      </c>
      <c r="D50" s="109">
        <f>D51</f>
        <v>0.6</v>
      </c>
      <c r="E50" s="260"/>
    </row>
    <row r="51" spans="2:5" x14ac:dyDescent="0.35">
      <c r="B51" s="9" t="s">
        <v>35</v>
      </c>
      <c r="C51" s="86">
        <v>13</v>
      </c>
      <c r="D51" s="109">
        <v>0.6</v>
      </c>
      <c r="E51" s="260"/>
    </row>
    <row r="52" spans="2:5" x14ac:dyDescent="0.35">
      <c r="B52" s="9" t="s">
        <v>37</v>
      </c>
      <c r="C52" s="86">
        <v>6</v>
      </c>
      <c r="D52" s="109">
        <v>0.5</v>
      </c>
      <c r="E52" s="260"/>
    </row>
    <row r="53" spans="2:5" x14ac:dyDescent="0.35">
      <c r="B53" s="2" t="s">
        <v>142</v>
      </c>
      <c r="C53" s="86">
        <v>0</v>
      </c>
      <c r="D53" s="109">
        <f>D50</f>
        <v>0.6</v>
      </c>
      <c r="E53" s="260"/>
    </row>
    <row r="54" spans="2:5" x14ac:dyDescent="0.35">
      <c r="B54" s="9" t="s">
        <v>227</v>
      </c>
      <c r="C54" s="86">
        <v>0</v>
      </c>
      <c r="D54" s="109">
        <v>0.1</v>
      </c>
      <c r="E54" s="260"/>
    </row>
    <row r="55" spans="2:5" x14ac:dyDescent="0.35">
      <c r="B55" s="9" t="s">
        <v>40</v>
      </c>
      <c r="C55" s="86">
        <v>6401</v>
      </c>
      <c r="D55" s="109">
        <f>D52</f>
        <v>0.5</v>
      </c>
      <c r="E55" s="260"/>
    </row>
    <row r="56" spans="2:5" x14ac:dyDescent="0.35">
      <c r="B56" s="2" t="s">
        <v>41</v>
      </c>
      <c r="C56" s="86">
        <v>0</v>
      </c>
      <c r="D56" s="109">
        <f>D50</f>
        <v>0.6</v>
      </c>
      <c r="E56" s="261" t="s">
        <v>39</v>
      </c>
    </row>
    <row r="57" spans="2:5" x14ac:dyDescent="0.35">
      <c r="B57" s="9" t="s">
        <v>109</v>
      </c>
      <c r="C57" s="86">
        <v>9403</v>
      </c>
      <c r="D57" s="109">
        <v>0.6</v>
      </c>
      <c r="E57" s="261" t="s">
        <v>39</v>
      </c>
    </row>
    <row r="58" spans="2:5" x14ac:dyDescent="0.35">
      <c r="B58" s="9" t="s">
        <v>43</v>
      </c>
      <c r="C58" s="86">
        <v>3</v>
      </c>
      <c r="D58" s="109">
        <f>D48</f>
        <v>0.9</v>
      </c>
      <c r="E58" s="260"/>
    </row>
    <row r="59" spans="2:5" x14ac:dyDescent="0.35">
      <c r="B59" s="12" t="s">
        <v>44</v>
      </c>
      <c r="C59" s="88">
        <v>0</v>
      </c>
      <c r="D59" s="110">
        <f>D70</f>
        <v>0.05</v>
      </c>
      <c r="E59" s="260"/>
    </row>
    <row r="60" spans="2:5" x14ac:dyDescent="0.35">
      <c r="B60" s="9" t="s">
        <v>54</v>
      </c>
      <c r="C60" s="86">
        <v>0</v>
      </c>
      <c r="D60" s="109">
        <f>D49</f>
        <v>0.8</v>
      </c>
      <c r="E60" s="260"/>
    </row>
    <row r="61" spans="2:5" x14ac:dyDescent="0.35">
      <c r="B61" s="9" t="s">
        <v>56</v>
      </c>
      <c r="C61" s="86">
        <v>1241</v>
      </c>
      <c r="D61" s="109">
        <f>D51</f>
        <v>0.6</v>
      </c>
      <c r="E61" s="260"/>
    </row>
    <row r="62" spans="2:5" x14ac:dyDescent="0.35">
      <c r="B62" s="9" t="s">
        <v>58</v>
      </c>
      <c r="C62" s="86">
        <v>69365</v>
      </c>
      <c r="D62" s="109">
        <f>D52</f>
        <v>0.5</v>
      </c>
      <c r="E62" s="260"/>
    </row>
    <row r="63" spans="2:5" x14ac:dyDescent="0.35">
      <c r="B63" s="2" t="s">
        <v>143</v>
      </c>
      <c r="C63" s="86">
        <v>0</v>
      </c>
      <c r="D63" s="109">
        <f>D62</f>
        <v>0.5</v>
      </c>
      <c r="E63" s="260"/>
    </row>
    <row r="64" spans="2:5" x14ac:dyDescent="0.35">
      <c r="B64" s="9" t="s">
        <v>226</v>
      </c>
      <c r="C64" s="86">
        <v>13047</v>
      </c>
      <c r="D64" s="109">
        <v>0.4</v>
      </c>
      <c r="E64" s="260"/>
    </row>
    <row r="65" spans="2:5" x14ac:dyDescent="0.35">
      <c r="B65" s="9" t="s">
        <v>63</v>
      </c>
      <c r="C65" s="86">
        <v>23342</v>
      </c>
      <c r="D65" s="109">
        <v>0.1</v>
      </c>
      <c r="E65" s="261" t="s">
        <v>64</v>
      </c>
    </row>
    <row r="66" spans="2:5" x14ac:dyDescent="0.35">
      <c r="B66" s="9" t="s">
        <v>65</v>
      </c>
      <c r="C66" s="86">
        <v>1641</v>
      </c>
      <c r="D66" s="109">
        <v>0.3</v>
      </c>
      <c r="E66" s="261" t="s">
        <v>39</v>
      </c>
    </row>
    <row r="67" spans="2:5" x14ac:dyDescent="0.35">
      <c r="B67" s="2" t="s">
        <v>42</v>
      </c>
      <c r="C67" s="86">
        <v>0</v>
      </c>
      <c r="D67" s="109">
        <v>0.2</v>
      </c>
      <c r="E67" s="261" t="s">
        <v>39</v>
      </c>
    </row>
    <row r="68" spans="2:5" x14ac:dyDescent="0.35">
      <c r="B68" s="9" t="s">
        <v>108</v>
      </c>
      <c r="C68" s="86">
        <v>1263</v>
      </c>
      <c r="D68" s="109">
        <f>D65</f>
        <v>0.1</v>
      </c>
      <c r="E68" s="260"/>
    </row>
    <row r="69" spans="2:5" x14ac:dyDescent="0.35">
      <c r="B69" s="9" t="s">
        <v>66</v>
      </c>
      <c r="C69" s="86">
        <v>0</v>
      </c>
      <c r="D69" s="109">
        <f>D70</f>
        <v>0.05</v>
      </c>
      <c r="E69" s="260"/>
    </row>
    <row r="70" spans="2:5" x14ac:dyDescent="0.35">
      <c r="B70" s="9" t="s">
        <v>67</v>
      </c>
      <c r="C70" s="86">
        <v>0</v>
      </c>
      <c r="D70" s="109">
        <v>0.05</v>
      </c>
      <c r="E70" s="260"/>
    </row>
    <row r="71" spans="2:5" x14ac:dyDescent="0.35">
      <c r="B71" s="9" t="s">
        <v>68</v>
      </c>
      <c r="C71" s="86">
        <v>10</v>
      </c>
      <c r="D71" s="109">
        <f>D58</f>
        <v>0.9</v>
      </c>
      <c r="E71" s="260"/>
    </row>
    <row r="72" spans="2:5" ht="12" thickBot="1" x14ac:dyDescent="0.4">
      <c r="B72" s="89" t="s">
        <v>69</v>
      </c>
      <c r="C72" s="90">
        <v>0</v>
      </c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>
        <v>20</v>
      </c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>
        <v>7818</v>
      </c>
    </row>
    <row r="78" spans="2:5" ht="12" thickTop="1" x14ac:dyDescent="0.35">
      <c r="B78" s="9" t="s">
        <v>55</v>
      </c>
      <c r="C78" s="86">
        <v>832</v>
      </c>
    </row>
    <row r="79" spans="2:5" x14ac:dyDescent="0.35">
      <c r="B79" s="9" t="s">
        <v>57</v>
      </c>
      <c r="C79" s="86">
        <v>15</v>
      </c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277</v>
      </c>
      <c r="C82" s="79">
        <v>6210</v>
      </c>
    </row>
    <row r="83" spans="2:8" hidden="1" x14ac:dyDescent="0.35">
      <c r="B83" s="300" t="s">
        <v>247</v>
      </c>
      <c r="C83" s="79">
        <v>165790</v>
      </c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3</v>
      </c>
      <c r="D86" s="297"/>
    </row>
    <row r="87" spans="2:8" x14ac:dyDescent="0.35">
      <c r="B87" s="95" t="s">
        <v>218</v>
      </c>
      <c r="C87" s="107" t="s">
        <v>290</v>
      </c>
      <c r="D87" s="108">
        <v>0.02</v>
      </c>
    </row>
    <row r="89" spans="2:8" x14ac:dyDescent="0.35">
      <c r="B89" s="94" t="s">
        <v>116</v>
      </c>
      <c r="C89" s="310">
        <f>C24</f>
        <v>45473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8765</v>
      </c>
      <c r="D91" s="98"/>
      <c r="E91" s="99">
        <f>C91</f>
        <v>8765</v>
      </c>
      <c r="F91" s="99">
        <f>C91</f>
        <v>8765</v>
      </c>
    </row>
    <row r="92" spans="2:8" x14ac:dyDescent="0.35">
      <c r="B92" s="100" t="s">
        <v>98</v>
      </c>
      <c r="C92" s="97">
        <f>C26</f>
        <v>5344</v>
      </c>
      <c r="D92" s="101">
        <f>C92/C91</f>
        <v>0.60969766115231028</v>
      </c>
      <c r="E92" s="102">
        <f>E91*D92</f>
        <v>5344</v>
      </c>
      <c r="F92" s="102">
        <f>F91*D92</f>
        <v>5344</v>
      </c>
    </row>
    <row r="93" spans="2:8" x14ac:dyDescent="0.35">
      <c r="B93" s="100" t="s">
        <v>217</v>
      </c>
      <c r="C93" s="97">
        <f>C27+C28</f>
        <v>1084</v>
      </c>
      <c r="D93" s="101">
        <f>C93/C91</f>
        <v>0.12367370222475756</v>
      </c>
      <c r="E93" s="102">
        <f>E91*D93</f>
        <v>1084</v>
      </c>
      <c r="F93" s="102">
        <f>F91*D93</f>
        <v>1084</v>
      </c>
    </row>
    <row r="94" spans="2:8" x14ac:dyDescent="0.35">
      <c r="B94" s="100" t="s">
        <v>223</v>
      </c>
      <c r="C94" s="97">
        <f>C29</f>
        <v>94</v>
      </c>
      <c r="D94" s="101">
        <f>C94/C91</f>
        <v>1.0724472333143184E-2</v>
      </c>
      <c r="E94" s="103"/>
      <c r="F94" s="102">
        <f>F91*D94</f>
        <v>94</v>
      </c>
    </row>
    <row r="95" spans="2:8" x14ac:dyDescent="0.35">
      <c r="B95" s="18" t="s">
        <v>216</v>
      </c>
      <c r="C95" s="97">
        <f>ABS(MAX(C34,0)-C33)</f>
        <v>91</v>
      </c>
      <c r="D95" s="101">
        <f>C95/C91</f>
        <v>1.038220193953223E-2</v>
      </c>
      <c r="E95" s="102">
        <f>E91*D95</f>
        <v>91</v>
      </c>
      <c r="F95" s="102">
        <f>F91*D95</f>
        <v>91</v>
      </c>
    </row>
    <row r="96" spans="2:8" x14ac:dyDescent="0.35">
      <c r="B96" s="18" t="s">
        <v>102</v>
      </c>
      <c r="C96" s="97">
        <f>MAX(C32,0)</f>
        <v>910</v>
      </c>
      <c r="D96" s="101">
        <f>C96/C91</f>
        <v>0.1038220193953223</v>
      </c>
      <c r="E96" s="103"/>
      <c r="F96" s="102">
        <f>F91*2%</f>
        <v>175.3</v>
      </c>
    </row>
    <row r="97" spans="2:6" x14ac:dyDescent="0.35">
      <c r="B97" s="93" t="s">
        <v>151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181</v>
      </c>
      <c r="C98" s="104">
        <f>C44</f>
        <v>0.57999999999999996</v>
      </c>
      <c r="D98" s="105"/>
      <c r="E98" s="106">
        <f>F98</f>
        <v>0.57999999999999996</v>
      </c>
      <c r="F98" s="106">
        <f>C98</f>
        <v>0.57999999999999996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0083.HK : SINO LAND</v>
      </c>
      <c r="D2" s="3"/>
      <c r="E2" s="7"/>
      <c r="F2" s="7"/>
      <c r="G2" s="312" t="str">
        <f>IF(Inputs!D4="","",Inputs!D4)</f>
        <v>HOLD</v>
      </c>
      <c r="H2" s="312"/>
    </row>
    <row r="3" spans="1:10" ht="15.75" customHeight="1" x14ac:dyDescent="0.35">
      <c r="B3" s="9" t="s">
        <v>168</v>
      </c>
      <c r="C3" s="317" t="str">
        <f>Inputs!C4</f>
        <v>0083.HK</v>
      </c>
      <c r="D3" s="318"/>
      <c r="E3" s="3"/>
      <c r="F3" s="9" t="s">
        <v>1</v>
      </c>
      <c r="G3" s="10">
        <v>7.88</v>
      </c>
      <c r="H3" s="11" t="s">
        <v>257</v>
      </c>
    </row>
    <row r="4" spans="1:10" ht="15.75" customHeight="1" x14ac:dyDescent="0.35">
      <c r="B4" s="12" t="s">
        <v>169</v>
      </c>
      <c r="C4" s="312" t="str">
        <f>Inputs!C5</f>
        <v>SINO LAND</v>
      </c>
      <c r="D4" s="319"/>
      <c r="E4" s="3"/>
      <c r="F4" s="9" t="s">
        <v>3</v>
      </c>
      <c r="G4" s="322">
        <f>Inputs!C10</f>
        <v>8171879936</v>
      </c>
      <c r="H4" s="322"/>
      <c r="I4" s="14"/>
    </row>
    <row r="5" spans="1:10" ht="15.75" customHeight="1" x14ac:dyDescent="0.35">
      <c r="B5" s="9" t="s">
        <v>146</v>
      </c>
      <c r="C5" s="320">
        <f>Inputs!C6</f>
        <v>45593</v>
      </c>
      <c r="D5" s="321"/>
      <c r="E5" s="16"/>
      <c r="F5" s="12" t="s">
        <v>92</v>
      </c>
      <c r="G5" s="315">
        <f>G3*G4/1000000</f>
        <v>64394.413895680002</v>
      </c>
      <c r="H5" s="315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45473</v>
      </c>
      <c r="F6" s="9" t="s">
        <v>5</v>
      </c>
      <c r="G6" s="316" t="str">
        <f>Inputs!C11</f>
        <v>HKD</v>
      </c>
      <c r="H6" s="316"/>
      <c r="I6" s="17"/>
    </row>
    <row r="7" spans="1:10" ht="15.75" customHeight="1" x14ac:dyDescent="0.35">
      <c r="B7" s="8" t="s">
        <v>166</v>
      </c>
      <c r="C7" s="123" t="str">
        <f>Inputs!C8</f>
        <v>Tier 3</v>
      </c>
      <c r="D7" s="123" t="str">
        <f>Inputs!C9</f>
        <v>C0005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HK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>
        <f>C21*C22*C23</f>
        <v>1.4096145726521505E-2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0.26662863662293212</v>
      </c>
      <c r="F21" s="3"/>
      <c r="G21" s="34"/>
    </row>
    <row r="22" spans="1:8" ht="15.75" customHeight="1" x14ac:dyDescent="0.35">
      <c r="B22" s="35" t="s">
        <v>245</v>
      </c>
      <c r="C22" s="36">
        <f>Data!C50</f>
        <v>4.8601561460320276E-2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>
        <f>1/Data!C55</f>
        <v>1.0877857530611015</v>
      </c>
      <c r="F23" s="39" t="s">
        <v>164</v>
      </c>
      <c r="G23" s="40">
        <f>G3/(Data!C36*Data!C4/Common_Shares*Exchange_Rate)</f>
        <v>0.38718111243464248</v>
      </c>
    </row>
    <row r="24" spans="1:8" ht="15.75" customHeight="1" x14ac:dyDescent="0.35">
      <c r="B24" s="41" t="s">
        <v>240</v>
      </c>
      <c r="C24" s="42">
        <f>Fin_Analysis!I81</f>
        <v>1.0724472333143184E-2</v>
      </c>
      <c r="F24" s="39" t="s">
        <v>225</v>
      </c>
      <c r="G24" s="43">
        <f>G3/(Fin_Analysis!H86*G7)</f>
        <v>40.97701358924553</v>
      </c>
    </row>
    <row r="25" spans="1:8" ht="15.75" customHeight="1" x14ac:dyDescent="0.35">
      <c r="B25" s="28" t="s">
        <v>241</v>
      </c>
      <c r="C25" s="44">
        <f>Fin_Analysis!I80</f>
        <v>0.02</v>
      </c>
      <c r="F25" s="39" t="s">
        <v>152</v>
      </c>
      <c r="G25" s="44">
        <f>Fin_Analysis!I88</f>
        <v>3.0160746042845692</v>
      </c>
    </row>
    <row r="26" spans="1:8" ht="15.75" customHeight="1" x14ac:dyDescent="0.35">
      <c r="B26" s="45" t="s">
        <v>242</v>
      </c>
      <c r="C26" s="44">
        <f>Fin_Analysis!I80+Fin_Analysis!I82</f>
        <v>3.0382201939532231E-2</v>
      </c>
      <c r="F26" s="46" t="s">
        <v>167</v>
      </c>
      <c r="G26" s="47">
        <f>Fin_Analysis!H88*Exchange_Rate/G3</f>
        <v>7.3604060913705582E-2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3" t="s">
        <v>224</v>
      </c>
      <c r="H28" s="313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6.8020747482025712</v>
      </c>
      <c r="D29" s="54">
        <f>G29*(1+G20)</f>
        <v>11.021049223423496</v>
      </c>
      <c r="E29" s="3"/>
      <c r="F29" s="55">
        <f>IF(Fin_Analysis!C108="Profit",Fin_Analysis!F100,IF(Fin_Analysis!C108="Dividend",Fin_Analysis!F103,Fin_Analysis!F106))</f>
        <v>8.0024408802383196</v>
      </c>
      <c r="G29" s="314">
        <f>IF(Fin_Analysis!C108="Profit",Fin_Analysis!I100,IF(Fin_Analysis!C108="Dividend",Fin_Analysis!I103,Fin_Analysis!I106))</f>
        <v>9.5835210638465185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Strongly agree</v>
      </c>
    </row>
    <row r="34" spans="1:4" ht="15.75" customHeight="1" x14ac:dyDescent="0.35">
      <c r="B34" s="57" t="s">
        <v>198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agree</v>
      </c>
    </row>
    <row r="40" spans="1:4" ht="15.75" customHeight="1" x14ac:dyDescent="0.35">
      <c r="B40" s="2" t="s">
        <v>203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17" sqref="C17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45473</v>
      </c>
      <c r="E3" s="138" t="s">
        <v>174</v>
      </c>
      <c r="F3" s="139" t="str">
        <f>H14</f>
        <v/>
      </c>
      <c r="G3" s="139">
        <f>C14</f>
        <v>2337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1000000</v>
      </c>
      <c r="D4" s="2" t="str">
        <f>Dashboard!G6</f>
        <v>HKD</v>
      </c>
      <c r="E4" s="138" t="s">
        <v>175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122</v>
      </c>
      <c r="C5" s="286">
        <f>C3</f>
        <v>45473</v>
      </c>
      <c r="D5" s="287">
        <f>EOMONTH(EDATE(C5,-12),0)</f>
        <v>45107</v>
      </c>
      <c r="E5" s="287">
        <f t="shared" ref="E5:M5" si="0">EOMONTH(EDATE(D5,-12),0)</f>
        <v>44742</v>
      </c>
      <c r="F5" s="287">
        <f t="shared" si="0"/>
        <v>44377</v>
      </c>
      <c r="G5" s="287">
        <f t="shared" si="0"/>
        <v>44012</v>
      </c>
      <c r="H5" s="287">
        <f t="shared" si="0"/>
        <v>43646</v>
      </c>
      <c r="I5" s="287">
        <f t="shared" si="0"/>
        <v>43281</v>
      </c>
      <c r="J5" s="287">
        <f t="shared" si="0"/>
        <v>42916</v>
      </c>
      <c r="K5" s="287">
        <f t="shared" si="0"/>
        <v>42551</v>
      </c>
      <c r="L5" s="287">
        <f t="shared" si="0"/>
        <v>42185</v>
      </c>
      <c r="M5" s="287">
        <f t="shared" si="0"/>
        <v>41820</v>
      </c>
    </row>
    <row r="6" spans="1:14" ht="15.75" customHeight="1" x14ac:dyDescent="0.35">
      <c r="A6" s="135"/>
      <c r="B6" s="263" t="s">
        <v>12</v>
      </c>
      <c r="C6" s="142">
        <f>IF(Inputs!C25=""," ",Inputs!C25)</f>
        <v>8765</v>
      </c>
      <c r="D6" s="142">
        <f>IF(Inputs!D25="","",Inputs!D25)</f>
        <v>11881</v>
      </c>
      <c r="E6" s="142">
        <f>IF(Inputs!E25="","",Inputs!E25)</f>
        <v>15554</v>
      </c>
      <c r="F6" s="142">
        <f>IF(Inputs!F25="","",Inputs!F25)</f>
        <v>24545</v>
      </c>
      <c r="G6" s="142">
        <f>IF(Inputs!G25="","",Inputs!G25)</f>
        <v>5887</v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-0.26226748590186011</v>
      </c>
      <c r="D7" s="143">
        <f t="shared" si="1"/>
        <v>-0.23614504307573614</v>
      </c>
      <c r="E7" s="143">
        <f t="shared" si="1"/>
        <v>-0.36630678345895296</v>
      </c>
      <c r="F7" s="143">
        <f t="shared" si="1"/>
        <v>3.1693562085952101</v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5344</v>
      </c>
      <c r="D8" s="144">
        <f>IF(Inputs!D26="","",Inputs!D26)</f>
        <v>6492</v>
      </c>
      <c r="E8" s="144">
        <f>IF(Inputs!E26="","",Inputs!E26)</f>
        <v>7302</v>
      </c>
      <c r="F8" s="144">
        <f>IF(Inputs!F26="","",Inputs!F26)</f>
        <v>11011</v>
      </c>
      <c r="G8" s="144">
        <f>IF(Inputs!G26="","",Inputs!G26)</f>
        <v>2437</v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3421</v>
      </c>
      <c r="D9" s="273">
        <f t="shared" si="2"/>
        <v>5389</v>
      </c>
      <c r="E9" s="273">
        <f t="shared" si="2"/>
        <v>8252</v>
      </c>
      <c r="F9" s="273">
        <f t="shared" si="2"/>
        <v>13534</v>
      </c>
      <c r="G9" s="273">
        <f t="shared" si="2"/>
        <v>3450</v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1084</v>
      </c>
      <c r="D10" s="144">
        <f>IF(Inputs!D27="","",Inputs!D27)</f>
        <v>1129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0</v>
      </c>
      <c r="D12" s="144">
        <f>IF(Inputs!D31="","",MAX(Inputs!D31,0)/(1-Fin_Analysis!$I$84))</f>
        <v>38.9937106918239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0.26662863662293212</v>
      </c>
      <c r="D13" s="292">
        <f t="shared" si="3"/>
        <v>0.35527365451630133</v>
      </c>
      <c r="E13" s="292" t="e">
        <f t="shared" si="3"/>
        <v>#VALUE!</v>
      </c>
      <c r="F13" s="292" t="e">
        <f t="shared" si="3"/>
        <v>#VALUE!</v>
      </c>
      <c r="G13" s="292" t="e">
        <f t="shared" si="3"/>
        <v>#VALUE!</v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2337</v>
      </c>
      <c r="D14" s="294">
        <f t="shared" ref="D14:M14" si="4">IF(D6="","",D9-D10-MAX(D11,0)-MAX(D12,0))</f>
        <v>4221.0062893081758</v>
      </c>
      <c r="E14" s="294" t="e">
        <f t="shared" si="4"/>
        <v>#VALUE!</v>
      </c>
      <c r="F14" s="294" t="e">
        <f t="shared" si="4"/>
        <v>#VALUE!</v>
      </c>
      <c r="G14" s="294" t="e">
        <f t="shared" si="4"/>
        <v>#VALUE!</v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-0.44634055487677682</v>
      </c>
      <c r="D15" s="296" t="e">
        <f t="shared" ref="D15:M15" si="5">IF(E14="","",IF(ABS(D14+E14)=ABS(D14)+ABS(E14),IF(D14&lt;0,-1,1)*(D14-E14)/E14,"Turn"))</f>
        <v>#VALUE!</v>
      </c>
      <c r="E15" s="296" t="e">
        <f t="shared" si="5"/>
        <v>#VALUE!</v>
      </c>
      <c r="F15" s="296" t="e">
        <f t="shared" si="5"/>
        <v>#VALUE!</v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>
        <f>IF(C17="","",C17-C14)</f>
        <v>2065</v>
      </c>
      <c r="D16" s="147">
        <f t="shared" ref="D16:M16" si="6">IF(D17="","",D17-D14)</f>
        <v>1627.9937106918242</v>
      </c>
      <c r="E16" s="147" t="e">
        <f t="shared" si="6"/>
        <v>#VALUE!</v>
      </c>
      <c r="F16" s="147" t="e">
        <f t="shared" si="6"/>
        <v>#VALUE!</v>
      </c>
      <c r="G16" s="147" t="e">
        <f t="shared" si="6"/>
        <v>#VALUE!</v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>
        <f>IF(Inputs!C30="","",Inputs!C30)</f>
        <v>4402</v>
      </c>
      <c r="D17" s="307">
        <f>IF(Inputs!D30="","",Inputs!D30)</f>
        <v>5849</v>
      </c>
      <c r="E17" s="307">
        <f>IF(Inputs!E30="","",Inputs!E30)</f>
        <v>5735</v>
      </c>
      <c r="F17" s="307">
        <f>IF(Inputs!F30="","",Inputs!F30)</f>
        <v>9646</v>
      </c>
      <c r="G17" s="307">
        <f>IF(Inputs!G30="","",Inputs!G30)</f>
        <v>1688</v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>
        <f>IF(Inputs!C32="","",Inputs!C32)</f>
        <v>910</v>
      </c>
      <c r="D18" s="144">
        <f>IF(Inputs!D32="","",Inputs!D32)</f>
        <v>2541</v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94</v>
      </c>
      <c r="D19" s="144">
        <f>IF(Inputs!D29="","",Inputs!D29)</f>
        <v>96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>
        <f t="shared" ref="C20:M20" si="7">IF(OR(C6="",C21=""),"",C21/C6)</f>
        <v>1.825442099258414E-2</v>
      </c>
      <c r="D20" s="227">
        <f t="shared" si="7"/>
        <v>1.6665263866677889E-2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>
        <f>IF(Inputs!C33="","",Inputs!C33)</f>
        <v>160</v>
      </c>
      <c r="D21" s="144">
        <f>IF(Inputs!D33="","",Inputs!D33)</f>
        <v>198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7.8722190530519116E-3</v>
      </c>
      <c r="D22" s="227">
        <f t="shared" si="8"/>
        <v>9.0901439272788494E-3</v>
      </c>
      <c r="E22" s="227">
        <f t="shared" si="8"/>
        <v>0</v>
      </c>
      <c r="F22" s="227">
        <f t="shared" si="8"/>
        <v>0</v>
      </c>
      <c r="G22" s="227">
        <f t="shared" si="8"/>
        <v>0</v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>
        <f>IF(Inputs!C34="","",Inputs!C34)</f>
        <v>69</v>
      </c>
      <c r="D23" s="144">
        <f>IF(Inputs!D34="","",Inputs!D34)</f>
        <v>108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1242</v>
      </c>
      <c r="D24" s="309">
        <f t="shared" si="9"/>
        <v>1494.0062893081758</v>
      </c>
      <c r="E24" s="309" t="e">
        <f t="shared" si="9"/>
        <v>#VALUE!</v>
      </c>
      <c r="F24" s="309" t="e">
        <f t="shared" si="9"/>
        <v>#VALUE!</v>
      </c>
      <c r="G24" s="309" t="e">
        <f t="shared" si="9"/>
        <v>#VALUE!</v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0.11265145464917284</v>
      </c>
      <c r="D25" s="143">
        <f t="shared" si="10"/>
        <v>9.9969278680245743E-2</v>
      </c>
      <c r="E25" s="143" t="e">
        <f t="shared" si="10"/>
        <v>#VALUE!</v>
      </c>
      <c r="F25" s="143" t="e">
        <f t="shared" si="10"/>
        <v>#VALUE!</v>
      </c>
      <c r="G25" s="143" t="e">
        <f t="shared" si="10"/>
        <v>#VALUE!</v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987.38999999999987</v>
      </c>
      <c r="D26" s="276">
        <f>IF(D6="","",D24*(1-Fin_Analysis!$I$84))</f>
        <v>1187.7349999999997</v>
      </c>
      <c r="E26" s="276" t="e">
        <f>IF(E6="","",E24*(1-Fin_Analysis!$I$84))</f>
        <v>#VALUE!</v>
      </c>
      <c r="F26" s="276" t="e">
        <f>IF(F6="","",F24*(1-Fin_Analysis!$I$84))</f>
        <v>#VALUE!</v>
      </c>
      <c r="G26" s="276" t="e">
        <f>IF(G6="","",G24*(1-Fin_Analysis!$I$84))</f>
        <v>#VALUE!</v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-0.16867819841968104</v>
      </c>
      <c r="D27" s="305" t="e">
        <f t="shared" si="11"/>
        <v>#VALUE!</v>
      </c>
      <c r="E27" s="305" t="e">
        <f t="shared" si="11"/>
        <v>#VALUE!</v>
      </c>
      <c r="F27" s="305" t="e">
        <f t="shared" si="11"/>
        <v>#VALUE!</v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45107</v>
      </c>
      <c r="E28" s="287">
        <f t="shared" ref="E28" si="12">EOMONTH(EDATE(D28,-12),0)</f>
        <v>44742</v>
      </c>
      <c r="F28" s="287">
        <f t="shared" ref="F28" si="13">EOMONTH(EDATE(E28,-12),0)</f>
        <v>44377</v>
      </c>
      <c r="G28" s="287">
        <f t="shared" ref="G28" si="14">EOMONTH(EDATE(F28,-12),0)</f>
        <v>44012</v>
      </c>
      <c r="H28" s="287">
        <f t="shared" ref="H28" si="15">EOMONTH(EDATE(G28,-12),0)</f>
        <v>43646</v>
      </c>
      <c r="I28" s="287">
        <f t="shared" ref="I28" si="16">EOMONTH(EDATE(H28,-12),0)</f>
        <v>43281</v>
      </c>
      <c r="J28" s="287">
        <f t="shared" ref="J28" si="17">EOMONTH(EDATE(I28,-12),0)</f>
        <v>42916</v>
      </c>
      <c r="K28" s="287">
        <f t="shared" ref="K28" si="18">EOMONTH(EDATE(J28,-12),0)</f>
        <v>42551</v>
      </c>
      <c r="L28" s="287">
        <f t="shared" ref="L28" si="19">EOMONTH(EDATE(K28,-12),0)</f>
        <v>42185</v>
      </c>
      <c r="M28" s="287">
        <f t="shared" ref="M28" si="20">EOMONTH(EDATE(L28,-12),0)</f>
        <v>41820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180344</v>
      </c>
      <c r="D29" s="147">
        <f>IF(D36="","",D36+D32)</f>
        <v>174007</v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8192</v>
      </c>
      <c r="D30" s="144">
        <f>IF(Inputs!D35="","",Inputs!D35)</f>
        <v>7251</v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6401</v>
      </c>
      <c r="D31" s="144">
        <f>IF(Inputs!D36="","",Inputs!D36)</f>
        <v>16389</v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14028</v>
      </c>
      <c r="D32" s="144">
        <f>IF(Inputs!D37="","",Inputs!D37)</f>
        <v>10902</v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20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847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867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166316</v>
      </c>
      <c r="D36" s="144">
        <f>IF(Inputs!D41="","",Inputs!D41)</f>
        <v>163105</v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526</v>
      </c>
      <c r="D37" s="144">
        <f>IF(Inputs!D42="","",Inputs!D42)</f>
        <v>756</v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40803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>
        <f>IF(C6="","",C14/MAX(C39,0))</f>
        <v>5.727520035291523E-2</v>
      </c>
      <c r="D40" s="148" t="e">
        <f>IF(D6="","",D14/MAX(D39,0))</f>
        <v>#DIV/0!</v>
      </c>
      <c r="E40" s="148" t="e">
        <f>IF(E6="","",E14/MAX(E39,0))</f>
        <v>#VALUE!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0.60969766115231028</v>
      </c>
      <c r="D42" s="150">
        <f t="shared" si="35"/>
        <v>0.54641865162865078</v>
      </c>
      <c r="E42" s="150">
        <f t="shared" si="35"/>
        <v>0.46946123183746946</v>
      </c>
      <c r="F42" s="150">
        <f t="shared" si="35"/>
        <v>0.44860460378895906</v>
      </c>
      <c r="G42" s="150">
        <f t="shared" si="35"/>
        <v>0.4139629692542891</v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0.12367370222475756</v>
      </c>
      <c r="D43" s="146">
        <f t="shared" si="36"/>
        <v>9.5025671239794635E-2</v>
      </c>
      <c r="E43" s="146" t="e">
        <f t="shared" si="36"/>
        <v>#VALUE!</v>
      </c>
      <c r="F43" s="146" t="e">
        <f t="shared" si="36"/>
        <v>#VALUE!</v>
      </c>
      <c r="G43" s="146" t="e">
        <f t="shared" si="36"/>
        <v>#VALUE!</v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0.1038220193953223</v>
      </c>
      <c r="D44" s="146">
        <f t="shared" si="37"/>
        <v>0.21387088628903292</v>
      </c>
      <c r="E44" s="146">
        <f t="shared" si="37"/>
        <v>0</v>
      </c>
      <c r="F44" s="146">
        <f t="shared" si="37"/>
        <v>0</v>
      </c>
      <c r="G44" s="146">
        <f t="shared" si="37"/>
        <v>0</v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1.0724472333143184E-2</v>
      </c>
      <c r="D45" s="146">
        <f t="shared" si="38"/>
        <v>8.0801279353589772E-3</v>
      </c>
      <c r="E45" s="146">
        <f t="shared" si="38"/>
        <v>0</v>
      </c>
      <c r="F45" s="146">
        <f t="shared" si="38"/>
        <v>0</v>
      </c>
      <c r="G45" s="146">
        <f t="shared" si="38"/>
        <v>0</v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0</v>
      </c>
      <c r="D46" s="146">
        <f t="shared" si="39"/>
        <v>3.2820226152532532E-3</v>
      </c>
      <c r="E46" s="146">
        <f t="shared" si="39"/>
        <v>0</v>
      </c>
      <c r="F46" s="146">
        <f t="shared" si="39"/>
        <v>0</v>
      </c>
      <c r="G46" s="146">
        <f t="shared" si="39"/>
        <v>0</v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1.038220193953223E-2</v>
      </c>
      <c r="D47" s="146">
        <f t="shared" si="40"/>
        <v>7.5751199393990403E-3</v>
      </c>
      <c r="E47" s="146">
        <f t="shared" si="40"/>
        <v>0</v>
      </c>
      <c r="F47" s="146">
        <f t="shared" si="40"/>
        <v>0</v>
      </c>
      <c r="G47" s="146">
        <f t="shared" si="40"/>
        <v>0</v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0.1416999429549344</v>
      </c>
      <c r="D48" s="281">
        <f t="shared" si="41"/>
        <v>0.12574752035251038</v>
      </c>
      <c r="E48" s="281" t="e">
        <f t="shared" si="41"/>
        <v>#VALUE!</v>
      </c>
      <c r="F48" s="281" t="e">
        <f t="shared" si="41"/>
        <v>#VALUE!</v>
      </c>
      <c r="G48" s="281" t="e">
        <f t="shared" si="41"/>
        <v>#VALUE!</v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>
        <f t="shared" ref="C50:M50" si="42">IF(C6="","",C6/C29)</f>
        <v>4.8601561460320276E-2</v>
      </c>
      <c r="D50" s="153">
        <f t="shared" si="42"/>
        <v>6.8278862344618316E-2</v>
      </c>
      <c r="E50" s="153" t="e">
        <f t="shared" si="42"/>
        <v>#VALUE!</v>
      </c>
      <c r="F50" s="153" t="e">
        <f t="shared" si="42"/>
        <v>#VALUE!</v>
      </c>
      <c r="G50" s="153" t="e">
        <f t="shared" si="42"/>
        <v>#VALUE!</v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0.93462635482030809</v>
      </c>
      <c r="D51" s="146">
        <f t="shared" si="43"/>
        <v>0.61030216311758267</v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0.73029092983456934</v>
      </c>
      <c r="D52" s="146">
        <f t="shared" si="44"/>
        <v>1.3794293409645653</v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>
        <f t="shared" ref="C53:M53" si="45">IF(D6="","",C18/(C6-D6))</f>
        <v>-0.2920410783055199</v>
      </c>
      <c r="D53" s="146">
        <f t="shared" si="45"/>
        <v>-0.69180506398039754</v>
      </c>
      <c r="E53" s="146" t="e">
        <f t="shared" si="45"/>
        <v>#VALUE!</v>
      </c>
      <c r="F53" s="146" t="e">
        <f t="shared" si="45"/>
        <v>#VALUE!</v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>
        <f t="shared" ref="C55:M55" si="46">IF(C36="","",(C36-C37)/C29)</f>
        <v>0.91929867364592111</v>
      </c>
      <c r="D55" s="150">
        <f t="shared" si="46"/>
        <v>0.93300269529386748</v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>
        <f t="shared" ref="C56:M56" si="47">IF(OR(C24="",C35=""),"",IF(C35&lt;=0,"-",C24/C35))</f>
        <v>1.4325259515570934</v>
      </c>
      <c r="D56" s="154" t="str">
        <f t="shared" si="47"/>
        <v/>
      </c>
      <c r="E56" s="154" t="e">
        <f t="shared" si="47"/>
        <v>#VALUE!</v>
      </c>
      <c r="F56" s="154" t="e">
        <f t="shared" si="47"/>
        <v>#VALUE!</v>
      </c>
      <c r="G56" s="154" t="e">
        <f t="shared" si="47"/>
        <v>#VALUE!</v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7.5684380032206122E-2</v>
      </c>
      <c r="D57" s="146">
        <f t="shared" si="48"/>
        <v>6.4256757610072962E-2</v>
      </c>
      <c r="E57" s="146" t="e">
        <f t="shared" si="48"/>
        <v>#VALUE!</v>
      </c>
      <c r="F57" s="146" t="e">
        <f t="shared" si="48"/>
        <v>#VALUE!</v>
      </c>
      <c r="G57" s="146" t="e">
        <f t="shared" si="48"/>
        <v>#VALUE!</v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0</v>
      </c>
      <c r="D58" s="146">
        <f>IF(D36="","",IF(Inputs!D38=0,0,Inputs!D38/D29))</f>
        <v>3.0245909647313038E-2</v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>
        <f t="shared" ref="C60:M60" si="50">IF(C14="","",C14/(C36-C37))</f>
        <v>1.4096145726521504E-2</v>
      </c>
      <c r="D60" s="156">
        <f t="shared" si="50"/>
        <v>2.5999582931266443E-2</v>
      </c>
      <c r="E60" s="156" t="e">
        <f t="shared" si="50"/>
        <v>#VALUE!</v>
      </c>
      <c r="F60" s="156" t="e">
        <f t="shared" si="50"/>
        <v>#VALUE!</v>
      </c>
      <c r="G60" s="156" t="e">
        <f t="shared" si="50"/>
        <v>#VALUE!</v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>
        <f t="shared" ref="C61:M61" si="51">IF(C24="","",C24/(C36-C37))</f>
        <v>7.4914047891911457E-3</v>
      </c>
      <c r="D61" s="156">
        <f t="shared" si="51"/>
        <v>9.2024360440050492E-3</v>
      </c>
      <c r="E61" s="156" t="e">
        <f t="shared" si="51"/>
        <v>#VALUE!</v>
      </c>
      <c r="F61" s="156" t="e">
        <f t="shared" si="51"/>
        <v>#VALUE!</v>
      </c>
      <c r="G61" s="156" t="e">
        <f t="shared" si="51"/>
        <v>#VALUE!</v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166316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165790</v>
      </c>
      <c r="K3" s="75"/>
    </row>
    <row r="4" spans="1:11" ht="15" customHeight="1" x14ac:dyDescent="0.35">
      <c r="B4" s="9" t="s">
        <v>22</v>
      </c>
      <c r="C4" s="3"/>
      <c r="D4" s="144">
        <f>Inputs!C42</f>
        <v>526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>
        <f>C28/I28</f>
        <v>9.0093374264517774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84515.700000000012</v>
      </c>
      <c r="E6" s="170">
        <f>1-D6/D3</f>
        <v>0.49183662425743757</v>
      </c>
      <c r="F6" s="3"/>
      <c r="G6" s="3"/>
      <c r="H6" s="2" t="s">
        <v>25</v>
      </c>
      <c r="I6" s="168">
        <f>(C24+C25)/I28</f>
        <v>6.9874648247633662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10.342259145007587</v>
      </c>
      <c r="E7" s="167" t="str">
        <f>Dashboard!H3</f>
        <v>HKD</v>
      </c>
      <c r="H7" s="2" t="s">
        <v>26</v>
      </c>
      <c r="I7" s="168">
        <f>C24/I28</f>
        <v>6.9866973650550017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45574</v>
      </c>
      <c r="D11" s="258">
        <f>Inputs!D48</f>
        <v>0.9</v>
      </c>
      <c r="E11" s="176">
        <f t="shared" ref="E11:E22" si="0">C11*D11</f>
        <v>41016.6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843</v>
      </c>
      <c r="D12" s="258">
        <f>Inputs!D49</f>
        <v>0.8</v>
      </c>
      <c r="E12" s="176">
        <f t="shared" si="0"/>
        <v>674.40000000000009</v>
      </c>
      <c r="F12" s="260"/>
      <c r="G12" s="3"/>
      <c r="H12" s="9" t="s">
        <v>33</v>
      </c>
      <c r="I12" s="175">
        <f>Inputs!C74</f>
        <v>20</v>
      </c>
      <c r="J12" s="3"/>
      <c r="K12" s="75"/>
    </row>
    <row r="13" spans="1:11" ht="11.65" x14ac:dyDescent="0.35">
      <c r="B13" s="9" t="s">
        <v>106</v>
      </c>
      <c r="C13" s="175">
        <f>Inputs!C50</f>
        <v>8192</v>
      </c>
      <c r="D13" s="258">
        <f>Inputs!D50</f>
        <v>0.6</v>
      </c>
      <c r="E13" s="176">
        <f t="shared" si="0"/>
        <v>4915.2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13</v>
      </c>
      <c r="D14" s="258">
        <f>Inputs!D51</f>
        <v>0.6</v>
      </c>
      <c r="E14" s="176">
        <f t="shared" si="0"/>
        <v>7.8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6</v>
      </c>
      <c r="D15" s="258">
        <f>Inputs!D52</f>
        <v>0.5</v>
      </c>
      <c r="E15" s="176">
        <f t="shared" si="0"/>
        <v>3</v>
      </c>
      <c r="F15" s="260"/>
      <c r="G15" s="3"/>
      <c r="H15" s="2" t="s">
        <v>47</v>
      </c>
      <c r="I15" s="180">
        <f>SUM(I11:I14)</f>
        <v>20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6401</v>
      </c>
      <c r="D18" s="258">
        <f>Inputs!D55</f>
        <v>0.5</v>
      </c>
      <c r="E18" s="176">
        <f t="shared" si="0"/>
        <v>3200.5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Y</v>
      </c>
      <c r="G19" s="181">
        <f>IF(F19="Y",0,1)</f>
        <v>0</v>
      </c>
    </row>
    <row r="20" spans="2:10" ht="11.65" x14ac:dyDescent="0.35">
      <c r="B20" s="9" t="s">
        <v>109</v>
      </c>
      <c r="C20" s="175">
        <f>Inputs!C57</f>
        <v>9403</v>
      </c>
      <c r="D20" s="258">
        <f>Inputs!D57</f>
        <v>0.6</v>
      </c>
      <c r="E20" s="176">
        <f t="shared" si="0"/>
        <v>5641.8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3</v>
      </c>
      <c r="D21" s="258">
        <f>Inputs!D58</f>
        <v>0.9</v>
      </c>
      <c r="E21" s="176">
        <f t="shared" si="0"/>
        <v>2.7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7798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54622</v>
      </c>
      <c r="D24" s="185">
        <f>IF(E24=0,0,E24/C24)</f>
        <v>0.85339240599026034</v>
      </c>
      <c r="E24" s="176">
        <f>SUM(E11:E14)</f>
        <v>46614</v>
      </c>
      <c r="F24" s="186">
        <f>E24/$E$28</f>
        <v>0.8404673470123688</v>
      </c>
      <c r="G24" s="3"/>
    </row>
    <row r="25" spans="2:10" ht="15" customHeight="1" x14ac:dyDescent="0.35">
      <c r="B25" s="183" t="s">
        <v>48</v>
      </c>
      <c r="C25" s="184">
        <f>SUM(C15:C17)</f>
        <v>6</v>
      </c>
      <c r="D25" s="185">
        <f>IF(E25=0,0,E25/C25)</f>
        <v>0.5</v>
      </c>
      <c r="E25" s="176">
        <f>SUM(E15:E17)</f>
        <v>3</v>
      </c>
      <c r="F25" s="186">
        <f>E25/$E$28</f>
        <v>5.4091089394540409E-5</v>
      </c>
      <c r="G25" s="3"/>
      <c r="H25" s="183" t="s">
        <v>49</v>
      </c>
      <c r="I25" s="168">
        <f>E28/I28</f>
        <v>7.0941417242261444</v>
      </c>
    </row>
    <row r="26" spans="2:10" ht="15" customHeight="1" x14ac:dyDescent="0.35">
      <c r="B26" s="183" t="s">
        <v>50</v>
      </c>
      <c r="C26" s="184">
        <f>C18+C19+C20</f>
        <v>15804</v>
      </c>
      <c r="D26" s="185">
        <f>IF(E26=0,0,E26/C26)</f>
        <v>0.55949759554543144</v>
      </c>
      <c r="E26" s="176">
        <f>E18+E19+E20</f>
        <v>8842.2999999999993</v>
      </c>
      <c r="F26" s="186">
        <f>E26/$E$28</f>
        <v>0.15942987991778154</v>
      </c>
      <c r="G26" s="3"/>
      <c r="H26" s="183" t="s">
        <v>51</v>
      </c>
      <c r="I26" s="168">
        <f>E24/($I$28-I22)</f>
        <v>2330.6999999999998</v>
      </c>
      <c r="J26" s="187" t="str">
        <f>IF(I26&lt;1,"Liquidity Problem!","")</f>
        <v/>
      </c>
    </row>
    <row r="27" spans="2:10" ht="15" customHeight="1" x14ac:dyDescent="0.35">
      <c r="B27" s="183" t="s">
        <v>52</v>
      </c>
      <c r="C27" s="97">
        <f>C21+C22</f>
        <v>3</v>
      </c>
      <c r="D27" s="185">
        <f>IF(E27=0,0,E27/C27)</f>
        <v>0.9</v>
      </c>
      <c r="E27" s="176">
        <f>E21+E22</f>
        <v>2.7</v>
      </c>
      <c r="F27" s="186">
        <f>E27/$E$28</f>
        <v>4.8681980455086372E-5</v>
      </c>
      <c r="G27" s="3"/>
      <c r="H27" s="183" t="s">
        <v>53</v>
      </c>
      <c r="I27" s="168">
        <f>(E25+E24)/$I$28</f>
        <v>5.9627782041442821</v>
      </c>
      <c r="J27" s="187" t="str">
        <f>IF(OR(I27&lt;0.75,C28&lt;I28),"Liquidity Issue!","")</f>
        <v/>
      </c>
    </row>
    <row r="28" spans="2:10" ht="15" customHeight="1" x14ac:dyDescent="0.35">
      <c r="B28" s="188" t="s">
        <v>15</v>
      </c>
      <c r="C28" s="189">
        <f>SUM(C11:C22)</f>
        <v>70435</v>
      </c>
      <c r="D28" s="190">
        <f>E28/C28</f>
        <v>0.78742102647831336</v>
      </c>
      <c r="E28" s="191">
        <f>SUM(E24:E27)</f>
        <v>55462</v>
      </c>
      <c r="F28" s="87"/>
      <c r="G28" s="3"/>
      <c r="H28" s="188" t="s">
        <v>16</v>
      </c>
      <c r="I28" s="161">
        <f>Inputs!C77</f>
        <v>7818</v>
      </c>
      <c r="J28" s="192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832</v>
      </c>
      <c r="J30" s="3"/>
    </row>
    <row r="31" spans="2:10" ht="15" customHeight="1" x14ac:dyDescent="0.35">
      <c r="B31" s="9" t="s">
        <v>56</v>
      </c>
      <c r="C31" s="175">
        <f>Inputs!C61</f>
        <v>1241</v>
      </c>
      <c r="D31" s="258">
        <f>Inputs!D61</f>
        <v>0.6</v>
      </c>
      <c r="E31" s="176">
        <f t="shared" ref="E31:E42" si="1">C31*D31</f>
        <v>744.6</v>
      </c>
      <c r="F31" s="260"/>
      <c r="G31" s="3"/>
      <c r="H31" s="9" t="s">
        <v>57</v>
      </c>
      <c r="I31" s="175">
        <f>Inputs!C79</f>
        <v>15</v>
      </c>
      <c r="J31" s="3"/>
    </row>
    <row r="32" spans="2:10" ht="15" customHeight="1" x14ac:dyDescent="0.35">
      <c r="B32" s="9" t="s">
        <v>58</v>
      </c>
      <c r="C32" s="175">
        <f>Inputs!C62</f>
        <v>69365</v>
      </c>
      <c r="D32" s="258">
        <f>Inputs!D62</f>
        <v>0.5</v>
      </c>
      <c r="E32" s="176">
        <f t="shared" si="1"/>
        <v>34682.5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13047</v>
      </c>
      <c r="D34" s="258">
        <f>Inputs!D64</f>
        <v>0.4</v>
      </c>
      <c r="E34" s="176">
        <f t="shared" si="1"/>
        <v>5218.8</v>
      </c>
      <c r="F34" s="260"/>
      <c r="G34" s="3"/>
      <c r="H34" s="2" t="s">
        <v>71</v>
      </c>
      <c r="I34" s="180">
        <f>SUM(I30:I33)</f>
        <v>847</v>
      </c>
      <c r="J34" s="3"/>
    </row>
    <row r="35" spans="2:10" ht="11.65" x14ac:dyDescent="0.35">
      <c r="B35" s="9" t="s">
        <v>63</v>
      </c>
      <c r="C35" s="175">
        <f>Inputs!C65</f>
        <v>23342</v>
      </c>
      <c r="D35" s="258">
        <f>Inputs!D65</f>
        <v>0.1</v>
      </c>
      <c r="E35" s="176">
        <f t="shared" si="1"/>
        <v>2334.2000000000003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1641</v>
      </c>
      <c r="D36" s="258">
        <f>Inputs!D66</f>
        <v>0.3</v>
      </c>
      <c r="E36" s="176">
        <f t="shared" si="1"/>
        <v>492.29999999999995</v>
      </c>
      <c r="F36" s="260" t="str">
        <f>Inputs!E66</f>
        <v>Y</v>
      </c>
      <c r="G36" s="181">
        <f>IF(F36="Y",0,1)</f>
        <v>0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0.2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1263</v>
      </c>
      <c r="D38" s="258">
        <f>Inputs!D68</f>
        <v>0.1</v>
      </c>
      <c r="E38" s="176">
        <f t="shared" si="1"/>
        <v>126.30000000000001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10</v>
      </c>
      <c r="D41" s="258">
        <f>Inputs!D71</f>
        <v>0.9</v>
      </c>
      <c r="E41" s="176">
        <f t="shared" si="1"/>
        <v>9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5363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1241</v>
      </c>
      <c r="D44" s="185">
        <f>IF(E44=0,0,E44/C44)</f>
        <v>0.6</v>
      </c>
      <c r="E44" s="176">
        <f>SUM(E30:E31)</f>
        <v>744.6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105754</v>
      </c>
      <c r="D45" s="185">
        <f>IF(E45=0,0,E45/C45)</f>
        <v>0.39937496454034838</v>
      </c>
      <c r="E45" s="176">
        <f>SUM(E32:E35)</f>
        <v>42235.5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2904</v>
      </c>
      <c r="D46" s="185">
        <f>IF(E46=0,0,E46/C46)</f>
        <v>0.21301652892561981</v>
      </c>
      <c r="E46" s="176">
        <f>E36+E37+E38+E39</f>
        <v>618.59999999999991</v>
      </c>
      <c r="F46" s="3"/>
      <c r="G46" s="3"/>
      <c r="H46" s="183" t="s">
        <v>74</v>
      </c>
      <c r="I46" s="168">
        <f>(E44+E24)/E64</f>
        <v>54.623529411764707</v>
      </c>
      <c r="J46" s="187" t="str">
        <f>IF(I46&lt;1,"Liquidity Problem!","")</f>
        <v/>
      </c>
    </row>
    <row r="47" spans="2:10" ht="15" customHeight="1" x14ac:dyDescent="0.35">
      <c r="B47" s="183" t="s">
        <v>75</v>
      </c>
      <c r="C47" s="184">
        <f>C40+C41+C42</f>
        <v>10</v>
      </c>
      <c r="D47" s="185">
        <f>IF(E47=0,0,E47/C47)</f>
        <v>0.9</v>
      </c>
      <c r="E47" s="176">
        <f>E40+E41+E42</f>
        <v>9</v>
      </c>
      <c r="F47" s="3"/>
      <c r="G47" s="3"/>
      <c r="H47" s="183" t="s">
        <v>76</v>
      </c>
      <c r="I47" s="168">
        <f>(E44+E45+E24+E25)/$I$49</f>
        <v>6.38701881950385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77</v>
      </c>
      <c r="C48" s="194">
        <f>SUM(C30:C42)</f>
        <v>109909</v>
      </c>
      <c r="D48" s="195">
        <f>E48/C48</f>
        <v>0.39676186663512547</v>
      </c>
      <c r="E48" s="196">
        <f>SUM(E30:E42)</f>
        <v>43607.700000000004</v>
      </c>
      <c r="F48" s="3"/>
      <c r="G48" s="3"/>
      <c r="H48" s="91" t="s">
        <v>78</v>
      </c>
      <c r="I48" s="197">
        <f>I49-I28</f>
        <v>6210</v>
      </c>
      <c r="J48" s="187"/>
    </row>
    <row r="49" spans="2:11" ht="15" customHeight="1" thickTop="1" x14ac:dyDescent="0.35">
      <c r="B49" s="9" t="s">
        <v>14</v>
      </c>
      <c r="C49" s="184">
        <f>Inputs!C41+Inputs!C37</f>
        <v>180344</v>
      </c>
      <c r="D49" s="170">
        <f>E49/C49</f>
        <v>0.54933737745641664</v>
      </c>
      <c r="E49" s="176">
        <f>E28+E48</f>
        <v>99069.700000000012</v>
      </c>
      <c r="F49" s="3"/>
      <c r="G49" s="3"/>
      <c r="H49" s="9" t="s">
        <v>79</v>
      </c>
      <c r="I49" s="175">
        <f>Inputs!C37</f>
        <v>14028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526</v>
      </c>
      <c r="D53" s="34">
        <f>IF(E53=0, 0,E53/C53)</f>
        <v>1</v>
      </c>
      <c r="E53" s="176">
        <f>IF(C53=0,0,MAX(C53,C53*Dashboard!G23))</f>
        <v>526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867</v>
      </c>
      <c r="E56" s="321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22">
        <f>Inputs!C84</f>
        <v>0</v>
      </c>
      <c r="E57" s="321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93967</v>
      </c>
      <c r="D61" s="170">
        <f t="shared" ref="D61:D70" si="2">IF(E61=0,0,E61/C61)</f>
        <v>0.40197196888269282</v>
      </c>
      <c r="E61" s="182">
        <f>E14+E15+(E19*G19)+(E20*G20)+E31+E32+(E35*G35)+(E36*G36)+(E37*G37)</f>
        <v>37772.1</v>
      </c>
      <c r="F61" s="3"/>
      <c r="G61" s="3"/>
      <c r="H61" s="2" t="s">
        <v>254</v>
      </c>
      <c r="I61" s="203">
        <f>C99*Data!$C$4/Common_Shares</f>
        <v>9.5353456744668446</v>
      </c>
      <c r="K61" s="172"/>
    </row>
    <row r="62" spans="2:11" ht="11.65" x14ac:dyDescent="0.35">
      <c r="B62" s="12" t="s">
        <v>128</v>
      </c>
      <c r="C62" s="204">
        <f>C11+C30</f>
        <v>45574</v>
      </c>
      <c r="D62" s="205">
        <f t="shared" si="2"/>
        <v>0.9</v>
      </c>
      <c r="E62" s="206">
        <f>E11+E30</f>
        <v>41016.6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139541</v>
      </c>
      <c r="D63" s="34">
        <f t="shared" si="2"/>
        <v>0.56462760049017846</v>
      </c>
      <c r="E63" s="184">
        <f>E61+E62</f>
        <v>78788.7</v>
      </c>
      <c r="F63" s="3"/>
      <c r="G63" s="3"/>
      <c r="H63" s="2" t="s">
        <v>255</v>
      </c>
      <c r="I63" s="207">
        <f>IF(I61&gt;0,FV(I62,D93,0,-I61),I61)</f>
        <v>10.244675140810054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867</v>
      </c>
      <c r="F64" s="3"/>
      <c r="G64" s="3"/>
      <c r="H64" s="2" t="s">
        <v>256</v>
      </c>
      <c r="I64" s="207">
        <f>IF(I61&gt;0,PV(C94,D93,0,-I63),I61)</f>
        <v>5.8574262618044148</v>
      </c>
      <c r="K64" s="172"/>
    </row>
    <row r="65" spans="1:11" ht="12" thickTop="1" x14ac:dyDescent="0.35">
      <c r="B65" s="9" t="s">
        <v>131</v>
      </c>
      <c r="C65" s="202">
        <f>C63-E64</f>
        <v>138674</v>
      </c>
      <c r="D65" s="34">
        <f t="shared" si="2"/>
        <v>0.56190562037584546</v>
      </c>
      <c r="E65" s="184">
        <f>E63-E64</f>
        <v>77921.7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40803</v>
      </c>
      <c r="D68" s="34">
        <f t="shared" si="2"/>
        <v>0.49704678577555605</v>
      </c>
      <c r="E68" s="202">
        <f>E49-E63</f>
        <v>20281.000000000015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13161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27642</v>
      </c>
      <c r="D70" s="34">
        <f t="shared" si="2"/>
        <v>0.25757904637869961</v>
      </c>
      <c r="E70" s="202">
        <f>E68-E69</f>
        <v>7120.0000000000146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45473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8765</v>
      </c>
      <c r="D74" s="98"/>
      <c r="E74" s="256">
        <f>Inputs!E91</f>
        <v>8765</v>
      </c>
      <c r="F74" s="98"/>
      <c r="H74" s="256">
        <f>Inputs!F91</f>
        <v>8765</v>
      </c>
      <c r="I74" s="98"/>
      <c r="K74" s="75"/>
    </row>
    <row r="75" spans="1:11" ht="15" customHeight="1" x14ac:dyDescent="0.35">
      <c r="B75" s="100" t="s">
        <v>98</v>
      </c>
      <c r="C75" s="97">
        <f>Data!C8</f>
        <v>5344</v>
      </c>
      <c r="D75" s="101">
        <f>C75/$C$74</f>
        <v>0.60969766115231028</v>
      </c>
      <c r="E75" s="256">
        <f>Inputs!E92</f>
        <v>5344</v>
      </c>
      <c r="F75" s="211">
        <f>E75/E74</f>
        <v>0.60969766115231028</v>
      </c>
      <c r="H75" s="256">
        <f>Inputs!F92</f>
        <v>5344</v>
      </c>
      <c r="I75" s="211">
        <f>H75/$H$74</f>
        <v>0.60969766115231028</v>
      </c>
      <c r="K75" s="75"/>
    </row>
    <row r="76" spans="1:11" ht="15" customHeight="1" x14ac:dyDescent="0.35">
      <c r="B76" s="12" t="s">
        <v>88</v>
      </c>
      <c r="C76" s="145">
        <f>C74-C75</f>
        <v>3421</v>
      </c>
      <c r="D76" s="212"/>
      <c r="E76" s="213">
        <f>E74-E75</f>
        <v>3421</v>
      </c>
      <c r="F76" s="212"/>
      <c r="H76" s="213">
        <f>H74-H75</f>
        <v>3421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1084</v>
      </c>
      <c r="D77" s="101">
        <f>C77/$C$74</f>
        <v>0.12367370222475756</v>
      </c>
      <c r="E77" s="256">
        <f>Inputs!E93</f>
        <v>1084</v>
      </c>
      <c r="F77" s="211">
        <f>E77/E74</f>
        <v>0.12367370222475756</v>
      </c>
      <c r="H77" s="256">
        <f>Inputs!F93</f>
        <v>1084</v>
      </c>
      <c r="I77" s="211">
        <f>H77/$H$74</f>
        <v>0.12367370222475756</v>
      </c>
      <c r="K77" s="75"/>
    </row>
    <row r="78" spans="1:11" ht="15" customHeight="1" x14ac:dyDescent="0.35">
      <c r="B78" s="93" t="s">
        <v>151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204</v>
      </c>
      <c r="C79" s="216">
        <f>C76-C77-C78</f>
        <v>2337</v>
      </c>
      <c r="D79" s="217">
        <f>C79/C74</f>
        <v>0.26662863662293212</v>
      </c>
      <c r="E79" s="218">
        <f>E76-E77-E78</f>
        <v>2337</v>
      </c>
      <c r="F79" s="217">
        <f>E79/E74</f>
        <v>0.26662863662293212</v>
      </c>
      <c r="G79" s="219"/>
      <c r="H79" s="218">
        <f>H76-H77-H78</f>
        <v>2337</v>
      </c>
      <c r="I79" s="217">
        <f>H79/H74</f>
        <v>0.26662863662293212</v>
      </c>
      <c r="K79" s="75"/>
    </row>
    <row r="80" spans="1:11" ht="15" customHeight="1" x14ac:dyDescent="0.35">
      <c r="B80" s="18" t="s">
        <v>102</v>
      </c>
      <c r="C80" s="97">
        <f>MAX(Data!C18,0)</f>
        <v>910</v>
      </c>
      <c r="D80" s="101">
        <f>C80/$C$74</f>
        <v>0.1038220193953223</v>
      </c>
      <c r="E80" s="214">
        <f>E74*F80</f>
        <v>175.3</v>
      </c>
      <c r="F80" s="211">
        <f>I80</f>
        <v>0.02</v>
      </c>
      <c r="H80" s="256">
        <f>Inputs!F96</f>
        <v>175.3</v>
      </c>
      <c r="I80" s="211">
        <f>H80/$H$74</f>
        <v>0.02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94</v>
      </c>
      <c r="D81" s="101">
        <f>C81/$C$74</f>
        <v>1.0724472333143184E-2</v>
      </c>
      <c r="E81" s="214">
        <f>E74*F81</f>
        <v>94</v>
      </c>
      <c r="F81" s="211">
        <f>I81</f>
        <v>1.0724472333143184E-2</v>
      </c>
      <c r="H81" s="256">
        <f>Inputs!F94</f>
        <v>94</v>
      </c>
      <c r="I81" s="211">
        <f>H81/$H$74</f>
        <v>1.0724472333143184E-2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91</v>
      </c>
      <c r="D82" s="101">
        <f>C82/$C$74</f>
        <v>1.038220193953223E-2</v>
      </c>
      <c r="E82" s="256">
        <f>Inputs!E95</f>
        <v>91</v>
      </c>
      <c r="F82" s="211">
        <f>E82/E74</f>
        <v>1.038220193953223E-2</v>
      </c>
      <c r="H82" s="256">
        <f>Inputs!F95</f>
        <v>91</v>
      </c>
      <c r="I82" s="211">
        <f>H82/$H$74</f>
        <v>1.038220193953223E-2</v>
      </c>
      <c r="K82" s="75"/>
    </row>
    <row r="83" spans="1:11" ht="15" customHeight="1" thickBot="1" x14ac:dyDescent="0.4">
      <c r="B83" s="221" t="s">
        <v>114</v>
      </c>
      <c r="C83" s="222">
        <f>C79-C81-C82-C80</f>
        <v>1242</v>
      </c>
      <c r="D83" s="223">
        <f>C83/$C$74</f>
        <v>0.1416999429549344</v>
      </c>
      <c r="E83" s="224">
        <f>E79-E81-E82-E80</f>
        <v>1976.7</v>
      </c>
      <c r="F83" s="223">
        <f>E83/E74</f>
        <v>0.22552196235025671</v>
      </c>
      <c r="H83" s="224">
        <f>H79-H81-H82-H80</f>
        <v>1976.7</v>
      </c>
      <c r="I83" s="223">
        <f>H83/$H$74</f>
        <v>0.22552196235025671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0.20500000000000002</v>
      </c>
      <c r="E84" s="226"/>
      <c r="F84" s="227">
        <f t="shared" ref="F84" si="3">I84</f>
        <v>0.20500000000000002</v>
      </c>
      <c r="H84" s="226"/>
      <c r="I84" s="257">
        <f>Inputs!C16</f>
        <v>0.20500000000000002</v>
      </c>
      <c r="K84" s="75"/>
    </row>
    <row r="85" spans="1:11" ht="15" customHeight="1" x14ac:dyDescent="0.35">
      <c r="B85" s="228" t="s">
        <v>147</v>
      </c>
      <c r="C85" s="216">
        <f>C83*(1-I84)</f>
        <v>987.38999999999987</v>
      </c>
      <c r="D85" s="217">
        <f>C85/$C$74</f>
        <v>0.11265145464917284</v>
      </c>
      <c r="E85" s="229">
        <f>E83*(1-F84)</f>
        <v>1571.4765</v>
      </c>
      <c r="F85" s="217">
        <f>E85/E74</f>
        <v>0.17928996006845407</v>
      </c>
      <c r="G85" s="219"/>
      <c r="H85" s="229">
        <f>H83*(1-I84)</f>
        <v>1571.4765</v>
      </c>
      <c r="I85" s="217">
        <f>H85/$H$74</f>
        <v>0.17928996006845407</v>
      </c>
      <c r="K85" s="75"/>
    </row>
    <row r="86" spans="1:11" ht="15" customHeight="1" x14ac:dyDescent="0.35">
      <c r="B86" s="3" t="s">
        <v>144</v>
      </c>
      <c r="C86" s="230">
        <f>C85*Data!C4/Common_Shares</f>
        <v>0.12082776640540205</v>
      </c>
      <c r="D86" s="98"/>
      <c r="E86" s="231">
        <f>E85*Data!C4/Common_Shares</f>
        <v>0.19230293546985366</v>
      </c>
      <c r="F86" s="98"/>
      <c r="H86" s="231">
        <f>H85*Data!C4/Common_Shares</f>
        <v>0.19230293546985366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1.5333472894086554E-2</v>
      </c>
      <c r="D87" s="98"/>
      <c r="E87" s="233">
        <f>E86*Exchange_Rate/Dashboard!G3</f>
        <v>2.4403925821047421E-2</v>
      </c>
      <c r="F87" s="98"/>
      <c r="H87" s="233">
        <f>H86*Exchange_Rate/Dashboard!G3</f>
        <v>2.4403925821047421E-2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0.57999999999999996</v>
      </c>
      <c r="D88" s="235">
        <f>C88/C86</f>
        <v>4.8002211516016979</v>
      </c>
      <c r="E88" s="255">
        <f>Inputs!E98</f>
        <v>0.57999999999999996</v>
      </c>
      <c r="F88" s="235">
        <f>E88/E86</f>
        <v>3.0160746042845692</v>
      </c>
      <c r="H88" s="255">
        <f>Inputs!F98</f>
        <v>0.57999999999999996</v>
      </c>
      <c r="I88" s="235">
        <f>H88/H86</f>
        <v>3.0160746042845692</v>
      </c>
      <c r="K88" s="75"/>
    </row>
    <row r="89" spans="1:11" ht="15" customHeight="1" x14ac:dyDescent="0.35">
      <c r="B89" s="3" t="s">
        <v>194</v>
      </c>
      <c r="C89" s="232">
        <f>C88*Exchange_Rate/Dashboard!G3</f>
        <v>7.3604060913705582E-2</v>
      </c>
      <c r="D89" s="98"/>
      <c r="E89" s="232">
        <f>E88*Exchange_Rate/Dashboard!G3</f>
        <v>7.3604060913705582E-2</v>
      </c>
      <c r="F89" s="98"/>
      <c r="H89" s="232">
        <f>H88*Exchange_Rate/Dashboard!G3</f>
        <v>7.3604060913705582E-2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HK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183</v>
      </c>
      <c r="F93" s="237">
        <f>FV(E87,D93,0,-(E86/(C93-D94)))*Exchange_Rate</f>
        <v>3.8504204991485671</v>
      </c>
      <c r="H93" s="3" t="s">
        <v>183</v>
      </c>
      <c r="I93" s="237">
        <f>FV(H87,D93,0,-(H86/(C93-D94)))*Exchange_Rate</f>
        <v>3.8504204991485671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14.010121004226448</v>
      </c>
      <c r="H94" s="3" t="s">
        <v>184</v>
      </c>
      <c r="I94" s="237">
        <f>FV(H89,D93,0,-(H88/(C93-D94)))*Exchange_Rate</f>
        <v>14.010121004226448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17990.315370316883</v>
      </c>
      <c r="D97" s="244"/>
      <c r="E97" s="245">
        <f>PV(C94,D93,0,-F93)</f>
        <v>2.2014904172861409</v>
      </c>
      <c r="F97" s="244"/>
      <c r="H97" s="245">
        <f>PV(C94,D93,0,-I93)</f>
        <v>2.2014904172861409</v>
      </c>
      <c r="I97" s="245">
        <f>PV(C93,D93,0,-I93)</f>
        <v>2.8831969096242607</v>
      </c>
      <c r="K97" s="75"/>
    </row>
    <row r="98" spans="2:11" ht="15" customHeight="1" x14ac:dyDescent="0.35">
      <c r="B98" s="18" t="s">
        <v>133</v>
      </c>
      <c r="C98" s="243">
        <f>-E53*Exchange_Rate</f>
        <v>-526</v>
      </c>
      <c r="D98" s="244"/>
      <c r="E98" s="244"/>
      <c r="F98" s="244"/>
      <c r="H98" s="245">
        <f>C98*Data!$C$4/Common_Shares</f>
        <v>-6.4367073931517929E-2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77921.7</v>
      </c>
      <c r="D99" s="248"/>
      <c r="E99" s="249">
        <f>IF(H99&gt;0,I64,H99)</f>
        <v>5.8574262618044148</v>
      </c>
      <c r="F99" s="248"/>
      <c r="H99" s="249">
        <f>I64</f>
        <v>5.8574262618044148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6.7953671643851816</v>
      </c>
      <c r="E100" s="251">
        <f>MAX(E97+H98+E99,0)</f>
        <v>7.9945496051590377</v>
      </c>
      <c r="F100" s="251">
        <f>(E100+H100)/2</f>
        <v>7.9945496051590377</v>
      </c>
      <c r="H100" s="251">
        <f>MAX(H97+H98+H99,0)</f>
        <v>7.9945496051590377</v>
      </c>
      <c r="I100" s="251">
        <f>MAX(I97+H98+H99,0)</f>
        <v>8.6762560974971574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6.8087823320199599</v>
      </c>
      <c r="E103" s="245">
        <f>PV(C94,D93,0,-F94)</f>
        <v>8.0103321553176006</v>
      </c>
      <c r="F103" s="251">
        <f>(E103+H103)/2</f>
        <v>8.0103321553176006</v>
      </c>
      <c r="H103" s="245">
        <f>PV(C94,D93,0,-I94)</f>
        <v>8.0103321553176006</v>
      </c>
      <c r="I103" s="251">
        <f>PV(C93,D93,0,-I94)</f>
        <v>10.490786030195881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6.8020747482025712</v>
      </c>
      <c r="E106" s="245">
        <f>(E100+E103)/2</f>
        <v>8.0024408802383196</v>
      </c>
      <c r="F106" s="251">
        <f>(F100+F103)/2</f>
        <v>8.0024408802383196</v>
      </c>
      <c r="H106" s="245">
        <f>(H100+H103)/2</f>
        <v>8.0024408802383196</v>
      </c>
      <c r="I106" s="245">
        <f>(I100+I103)/2</f>
        <v>9.5835210638465185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2024-12-27T10:33:03Z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