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18DA58-3B5E-4CF1-8873-579E7CF224C3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F37" i="4"/>
  <c r="E37" i="4"/>
  <c r="D37" i="4"/>
  <c r="C37" i="4"/>
  <c r="F96" i="4" l="1"/>
  <c r="F97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<sst xmlns="http://schemas.openxmlformats.org/spreadsheetml/2006/main" count="405" uniqueCount="290">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</sst>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677426000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287</v>
      </c>
      <c r="D19" s="75"/>
    </row>
    <row r="20" spans="2:13" x14ac:dyDescent="0.35">
      <c r="B20" s="57" t="s">
        <v>200</v>
      </c>
      <c r="C20" s="121" t="s">
        <v>287</v>
      </c>
      <c r="D20" s="75"/>
    </row>
    <row r="21" spans="2:13" x14ac:dyDescent="0.35">
      <c r="B21" s="2" t="s">
        <v>203</v>
      </c>
      <c r="C21" s="121" t="s">
        <v>286</v>
      </c>
      <c r="D21" s="75"/>
    </row>
    <row r="22" spans="2:13" ht="69.75" x14ac:dyDescent="0.35">
      <c r="B22" s="59" t="s">
        <v>202</v>
      </c>
      <c r="C22" s="122" t="s">
        <v>288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25013339</v>
      </c>
      <c r="D25" s="77">
        <v>19751940</v>
      </c>
      <c r="E25" s="77">
        <v>21987559</v>
      </c>
      <c r="F25" s="77">
        <v>14997541</v>
      </c>
      <c r="G25" s="77">
        <v>17736226</v>
      </c>
      <c r="H25" s="77">
        <v>18806342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18409837</v>
      </c>
      <c r="D26" s="78">
        <v>15140010</v>
      </c>
      <c r="E26" s="78">
        <v>16431474</v>
      </c>
      <c r="F26" s="78">
        <v>10877614</v>
      </c>
      <c r="G26" s="78">
        <v>12958750</v>
      </c>
      <c r="H26" s="78">
        <v>14175208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5225366</v>
      </c>
      <c r="D27" s="78">
        <v>4709830</v>
      </c>
      <c r="E27" s="78">
        <v>4571128</v>
      </c>
      <c r="F27" s="78">
        <v>3136777</v>
      </c>
      <c r="G27" s="78">
        <v>3470831</v>
      </c>
      <c r="H27" s="78">
        <v>3388718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129899</v>
      </c>
      <c r="D29" s="78">
        <v>81860</v>
      </c>
      <c r="E29" s="78">
        <v>60486</v>
      </c>
      <c r="F29" s="78">
        <v>76137</v>
      </c>
      <c r="G29" s="78">
        <v>89162</v>
      </c>
      <c r="H29" s="78">
        <v>36991</v>
      </c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-10604</v>
      </c>
      <c r="E30" s="302">
        <v>-3488</v>
      </c>
      <c r="F30" s="302">
        <v>0</v>
      </c>
      <c r="G30" s="302">
        <v>0</v>
      </c>
      <c r="H30" s="302">
        <v>0</v>
      </c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-13497</v>
      </c>
      <c r="D31" s="78">
        <v>-10604</v>
      </c>
      <c r="E31" s="78">
        <v>-3488</v>
      </c>
      <c r="F31" s="78">
        <v>0</v>
      </c>
      <c r="G31" s="78">
        <v>0</v>
      </c>
      <c r="H31" s="78">
        <v>0</v>
      </c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f>5391008+1339294</f>
        <v>6730302</v>
      </c>
      <c r="D37" s="78">
        <f>5356810+1423819</f>
        <v>6780629</v>
      </c>
      <c r="E37" s="78">
        <f>4182059+1163238</f>
        <v>5345297</v>
      </c>
      <c r="F37" s="78">
        <f>3657021+1150332</f>
        <v>4807353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v>229911</v>
      </c>
      <c r="D38" s="78">
        <v>119344</v>
      </c>
      <c r="E38" s="78">
        <v>219055</v>
      </c>
      <c r="F38" s="78">
        <v>94344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12167429</v>
      </c>
      <c r="D41" s="302">
        <v>11870228</v>
      </c>
      <c r="E41" s="302">
        <v>12743461</v>
      </c>
      <c r="F41" s="302">
        <v>12019114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-40166</v>
      </c>
      <c r="D42" s="78">
        <v>-20315</v>
      </c>
      <c r="E42" s="78">
        <v>-9659</v>
      </c>
      <c r="F42" s="78">
        <v>0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0.15+0.4</f>
        <v>0.55000000000000004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8.6887835703001584E-2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25013339</v>
      </c>
      <c r="D91" s="98"/>
      <c r="E91" s="99">
        <f>C91*0.7</f>
        <v>17509337.300000001</v>
      </c>
      <c r="F91" s="99">
        <f>C91*0.8</f>
        <v>20010671.199999999</v>
      </c>
    </row>
    <row r="92" spans="2:8" x14ac:dyDescent="0.35">
      <c r="B92" s="100" t="s">
        <v>98</v>
      </c>
      <c r="C92" s="97">
        <f>C26</f>
        <v>18409837</v>
      </c>
      <c r="D92" s="101">
        <f>C92/C91</f>
        <v>0.73600077942413045</v>
      </c>
      <c r="E92" s="102">
        <f>E91*D92</f>
        <v>12886885.9</v>
      </c>
      <c r="F92" s="102">
        <f>F91*D92</f>
        <v>14727869.6</v>
      </c>
    </row>
    <row r="93" spans="2:8" x14ac:dyDescent="0.35">
      <c r="B93" s="100" t="s">
        <v>217</v>
      </c>
      <c r="C93" s="97">
        <f>C27+C28</f>
        <v>5225366</v>
      </c>
      <c r="D93" s="101">
        <f>C93/C91</f>
        <v>0.20890317762054877</v>
      </c>
      <c r="E93" s="102">
        <f>E91*D93</f>
        <v>3657756.2</v>
      </c>
      <c r="F93" s="102">
        <f>F91*D93</f>
        <v>4180292.8</v>
      </c>
    </row>
    <row r="94" spans="2:8" x14ac:dyDescent="0.35">
      <c r="B94" s="100" t="s">
        <v>223</v>
      </c>
      <c r="C94" s="97">
        <f>C29</f>
        <v>129899</v>
      </c>
      <c r="D94" s="101">
        <f>C94/C91</f>
        <v>5.1931891220120593E-3</v>
      </c>
      <c r="E94" s="103"/>
      <c r="F94" s="102">
        <f>F91*D94</f>
        <v>103919.2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0.55000000000000004</v>
      </c>
      <c r="D98" s="105"/>
      <c r="E98" s="106">
        <f>F98*0.8</f>
        <v>0.44000000000000006</v>
      </c>
      <c r="F98" s="106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0116.HK : 周生生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0116.HK</v>
      </c>
      <c r="D3" s="317"/>
      <c r="E3" s="3"/>
      <c r="F3" s="9" t="s">
        <v>1</v>
      </c>
      <c r="G3" s="10">
        <v>6.33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周生生</v>
      </c>
      <c r="D4" s="319"/>
      <c r="E4" s="3"/>
      <c r="F4" s="9" t="s">
        <v>3</v>
      </c>
      <c r="G4" s="322">
        <f>Inputs!C10</f>
        <v>677426000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45593</v>
      </c>
      <c r="D5" s="321"/>
      <c r="E5" s="16"/>
      <c r="F5" s="12" t="s">
        <v>92</v>
      </c>
      <c r="G5" s="314">
        <f>G3*G4/1000000</f>
        <v>4288.1065799999997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0.11289168751093069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5.5096042955320758E-2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1.32361599389895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1.5480306317501522</v>
      </c>
      <c r="F23" s="39" t="s">
        <v>164</v>
      </c>
      <c r="G23" s="40">
        <f>G3/(Data!C36*Data!C4/Common_Shares*Exchange_Rate)</f>
        <v>0.35242503408074133</v>
      </c>
    </row>
    <row r="24" spans="1:8" ht="15.75" customHeight="1" x14ac:dyDescent="0.35">
      <c r="B24" s="41" t="s">
        <v>240</v>
      </c>
      <c r="C24" s="42">
        <f>Fin_Analysis!I81</f>
        <v>5.1931891220120593E-3</v>
      </c>
      <c r="F24" s="39" t="s">
        <v>225</v>
      </c>
      <c r="G24" s="43">
        <f>G3/(Fin_Analysis!H86*G7)</f>
        <v>5.7255507567873734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0.49748071346493766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8.6887835703001584E-2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5.9345423803210959</v>
      </c>
      <c r="D29" s="54">
        <f>G29*(1+G20)</f>
        <v>12.017189128377492</v>
      </c>
      <c r="E29" s="3"/>
      <c r="F29" s="55">
        <f>IF(Fin_Analysis!C108="Profit",Fin_Analysis!F100,IF(Fin_Analysis!C108="Dividend",Fin_Analysis!F103,Fin_Analysis!F106))</f>
        <v>6.9818145650836421</v>
      </c>
      <c r="G29" s="313">
        <f>IF(Fin_Analysis!C108="Profit",Fin_Analysis!I100,IF(Fin_Analysis!C108="Dividend",Fin_Analysis!I103,Fin_Analysis!I106))</f>
        <v>10.449729676849994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>
        <f>H14</f>
        <v>1242416</v>
      </c>
      <c r="G3" s="139">
        <f>C14</f>
        <v>1378136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1.7429143835659966E-2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25013339</v>
      </c>
      <c r="D6" s="142">
        <f>IF(Inputs!D25="","",Inputs!D25)</f>
        <v>19751940</v>
      </c>
      <c r="E6" s="142">
        <f>IF(Inputs!E25="","",Inputs!E25)</f>
        <v>21987559</v>
      </c>
      <c r="F6" s="142">
        <f>IF(Inputs!F25="","",Inputs!F25)</f>
        <v>14997541</v>
      </c>
      <c r="G6" s="142">
        <f>IF(Inputs!G25="","",Inputs!G25)</f>
        <v>17736226</v>
      </c>
      <c r="H6" s="142">
        <f>IF(Inputs!H25="","",Inputs!H25)</f>
        <v>18806342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0.26637378404349144</v>
      </c>
      <c r="D7" s="143">
        <f t="shared" si="1"/>
        <v>-0.10167654353991729</v>
      </c>
      <c r="E7" s="143">
        <f t="shared" si="1"/>
        <v>0.46607760565548717</v>
      </c>
      <c r="F7" s="143">
        <f t="shared" si="1"/>
        <v>-0.15441193633865513</v>
      </c>
      <c r="G7" s="143">
        <f t="shared" si="1"/>
        <v>-5.690186852924406E-2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18409837</v>
      </c>
      <c r="D8" s="144">
        <f>IF(Inputs!D26="","",Inputs!D26)</f>
        <v>15140010</v>
      </c>
      <c r="E8" s="144">
        <f>IF(Inputs!E26="","",Inputs!E26)</f>
        <v>16431474</v>
      </c>
      <c r="F8" s="144">
        <f>IF(Inputs!F26="","",Inputs!F26)</f>
        <v>10877614</v>
      </c>
      <c r="G8" s="144">
        <f>IF(Inputs!G26="","",Inputs!G26)</f>
        <v>12958750</v>
      </c>
      <c r="H8" s="144">
        <f>IF(Inputs!H26="","",Inputs!H26)</f>
        <v>14175208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6603502</v>
      </c>
      <c r="D9" s="273">
        <f t="shared" si="2"/>
        <v>4611930</v>
      </c>
      <c r="E9" s="273">
        <f t="shared" si="2"/>
        <v>5556085</v>
      </c>
      <c r="F9" s="273">
        <f t="shared" si="2"/>
        <v>4119927</v>
      </c>
      <c r="G9" s="273">
        <f t="shared" si="2"/>
        <v>4777476</v>
      </c>
      <c r="H9" s="273">
        <f t="shared" si="2"/>
        <v>4631134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5225366</v>
      </c>
      <c r="D10" s="144">
        <f>IF(Inputs!D27="","",Inputs!D27)</f>
        <v>4709830</v>
      </c>
      <c r="E10" s="144">
        <f>IF(Inputs!E27="","",Inputs!E27)</f>
        <v>4571128</v>
      </c>
      <c r="F10" s="144">
        <f>IF(Inputs!F27="","",Inputs!F27)</f>
        <v>3136777</v>
      </c>
      <c r="G10" s="144">
        <f>IF(Inputs!G27="","",Inputs!G27)</f>
        <v>3470831</v>
      </c>
      <c r="H10" s="144">
        <f>IF(Inputs!H27="","",Inputs!H27)</f>
        <v>3388718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>
        <f>IF(Inputs!H31="","",MAX(Inputs!H31,0)/(1-Fin_Analysis!$I$84))</f>
        <v>0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5.5096042955320758E-2</v>
      </c>
      <c r="D13" s="292">
        <f t="shared" si="3"/>
        <v>-4.9564751614271816E-3</v>
      </c>
      <c r="E13" s="292">
        <f t="shared" si="3"/>
        <v>4.4796104924607595E-2</v>
      </c>
      <c r="F13" s="292">
        <f t="shared" si="3"/>
        <v>6.5554079832153819E-2</v>
      </c>
      <c r="G13" s="292">
        <f t="shared" si="3"/>
        <v>7.3670971490778253E-2</v>
      </c>
      <c r="H13" s="292">
        <f t="shared" si="3"/>
        <v>6.6063671499752577E-2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1378136</v>
      </c>
      <c r="D14" s="294">
        <f t="shared" ref="D14:M14" si="4">IF(D6="","",D9-D10-MAX(D11,0)-MAX(D12,0))</f>
        <v>-97900</v>
      </c>
      <c r="E14" s="294">
        <f t="shared" si="4"/>
        <v>984957</v>
      </c>
      <c r="F14" s="294">
        <f t="shared" si="4"/>
        <v>983150</v>
      </c>
      <c r="G14" s="294">
        <f t="shared" si="4"/>
        <v>1306645</v>
      </c>
      <c r="H14" s="294">
        <f t="shared" si="4"/>
        <v>1242416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 t="str">
        <f>IF(D14="","",IF(ABS(C14+D14)=ABS(C14)+ABS(D14),IF(C14&lt;0,-1,1)*(C14-D14)/D14,"Turn"))</f>
        <v>Turn</v>
      </c>
      <c r="D15" s="296" t="str">
        <f t="shared" ref="D15:M15" si="5">IF(E14="","",IF(ABS(D14+E14)=ABS(D14)+ABS(E14),IF(D14&lt;0,-1,1)*(D14-E14)/E14,"Turn"))</f>
        <v>Turn</v>
      </c>
      <c r="E15" s="296">
        <f t="shared" si="5"/>
        <v>1.8379697909779789E-3</v>
      </c>
      <c r="F15" s="296">
        <f t="shared" si="5"/>
        <v>-0.24757680930933804</v>
      </c>
      <c r="G15" s="296">
        <f t="shared" si="5"/>
        <v>5.1696855159624473E-2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87296</v>
      </c>
      <c r="E16" s="147">
        <f t="shared" si="6"/>
        <v>-988445</v>
      </c>
      <c r="F16" s="147">
        <f t="shared" si="6"/>
        <v>-983150</v>
      </c>
      <c r="G16" s="147">
        <f t="shared" si="6"/>
        <v>-1306645</v>
      </c>
      <c r="H16" s="147">
        <f t="shared" si="6"/>
        <v>-1242416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-10604</v>
      </c>
      <c r="E17" s="307">
        <f>IF(Inputs!E30="","",Inputs!E30)</f>
        <v>-3488</v>
      </c>
      <c r="F17" s="307">
        <f>IF(Inputs!F30="","",Inputs!F30)</f>
        <v>0</v>
      </c>
      <c r="G17" s="307">
        <f>IF(Inputs!G30="","",Inputs!G30)</f>
        <v>0</v>
      </c>
      <c r="H17" s="307">
        <f>IF(Inputs!H30="","",Inputs!H30)</f>
        <v>0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129899</v>
      </c>
      <c r="D19" s="144">
        <f>IF(Inputs!D29="","",Inputs!D29)</f>
        <v>81860</v>
      </c>
      <c r="E19" s="144">
        <f>IF(Inputs!E29="","",Inputs!E29)</f>
        <v>60486</v>
      </c>
      <c r="F19" s="144">
        <f>IF(Inputs!F29="","",Inputs!F29)</f>
        <v>76137</v>
      </c>
      <c r="G19" s="144">
        <f>IF(Inputs!G29="","",Inputs!G29)</f>
        <v>89162</v>
      </c>
      <c r="H19" s="144">
        <f>IF(Inputs!H29="","",Inputs!H29)</f>
        <v>36991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1248237</v>
      </c>
      <c r="D24" s="309">
        <f t="shared" si="9"/>
        <v>-179760</v>
      </c>
      <c r="E24" s="309">
        <f t="shared" si="9"/>
        <v>924471</v>
      </c>
      <c r="F24" s="309">
        <f t="shared" si="9"/>
        <v>907013</v>
      </c>
      <c r="G24" s="309">
        <f t="shared" si="9"/>
        <v>1217483</v>
      </c>
      <c r="H24" s="309">
        <f t="shared" si="9"/>
        <v>1205425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3.7427140374981523E-2</v>
      </c>
      <c r="D25" s="143">
        <f t="shared" si="10"/>
        <v>-6.8256586441635602E-3</v>
      </c>
      <c r="E25" s="143">
        <f t="shared" si="10"/>
        <v>3.1533889232542821E-2</v>
      </c>
      <c r="F25" s="143">
        <f t="shared" si="10"/>
        <v>4.5358085702182777E-2</v>
      </c>
      <c r="G25" s="143">
        <f t="shared" si="10"/>
        <v>5.1482894388016932E-2</v>
      </c>
      <c r="H25" s="143">
        <f t="shared" si="10"/>
        <v>4.8072546484584824E-2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936177.75</v>
      </c>
      <c r="D26" s="276">
        <f>IF(D6="","",D24*(1-Fin_Analysis!$I$84))</f>
        <v>-134820</v>
      </c>
      <c r="E26" s="276">
        <f>IF(E6="","",E24*(1-Fin_Analysis!$I$84))</f>
        <v>693353.25</v>
      </c>
      <c r="F26" s="276">
        <f>IF(F6="","",F24*(1-Fin_Analysis!$I$84))</f>
        <v>680259.75</v>
      </c>
      <c r="G26" s="276">
        <f>IF(G6="","",G24*(1-Fin_Analysis!$I$84))</f>
        <v>913112.25</v>
      </c>
      <c r="H26" s="276">
        <f>IF(H6="","",H24*(1-Fin_Analysis!$I$84))</f>
        <v>904068.75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>Turn</v>
      </c>
      <c r="E27" s="305">
        <f t="shared" si="11"/>
        <v>1.9247794684309927E-2</v>
      </c>
      <c r="F27" s="305">
        <f t="shared" si="11"/>
        <v>-0.25500972087495266</v>
      </c>
      <c r="G27" s="305">
        <f t="shared" si="11"/>
        <v>1.0003110935976937E-2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18897731</v>
      </c>
      <c r="D29" s="147">
        <f>IF(D36="","",D36+D32)</f>
        <v>18650857</v>
      </c>
      <c r="E29" s="147">
        <f t="shared" ref="E29:M29" si="21">IF(E36="","",E36+E32)</f>
        <v>18088758</v>
      </c>
      <c r="F29" s="147">
        <f t="shared" si="21"/>
        <v>16826467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6730302</v>
      </c>
      <c r="D32" s="144">
        <f>IF(Inputs!D37="","",Inputs!D37)</f>
        <v>6780629</v>
      </c>
      <c r="E32" s="144">
        <f>IF(Inputs!E37="","",Inputs!E37)</f>
        <v>5345297</v>
      </c>
      <c r="F32" s="144">
        <f>IF(Inputs!F37="","",Inputs!F37)</f>
        <v>4807353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12167429</v>
      </c>
      <c r="D36" s="144">
        <f>IF(Inputs!D41="","",Inputs!D41)</f>
        <v>11870228</v>
      </c>
      <c r="E36" s="144">
        <f>IF(Inputs!E41="","",Inputs!E41)</f>
        <v>12743461</v>
      </c>
      <c r="F36" s="144">
        <f>IF(Inputs!F41="","",Inputs!F41)</f>
        <v>12019114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-40166</v>
      </c>
      <c r="D37" s="144">
        <f>IF(Inputs!D42="","",Inputs!D42)</f>
        <v>-20315</v>
      </c>
      <c r="E37" s="144">
        <f>IF(Inputs!E42="","",Inputs!E42)</f>
        <v>-9659</v>
      </c>
      <c r="F37" s="144">
        <f>IF(Inputs!F42="","",Inputs!F42)</f>
        <v>0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18897731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7.2926003656206134E-2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0.73600077942413045</v>
      </c>
      <c r="D42" s="150">
        <f t="shared" si="35"/>
        <v>0.76650749242859184</v>
      </c>
      <c r="E42" s="150">
        <f t="shared" si="35"/>
        <v>0.74730778437024314</v>
      </c>
      <c r="F42" s="150">
        <f t="shared" si="35"/>
        <v>0.72529316639307739</v>
      </c>
      <c r="G42" s="150">
        <f t="shared" si="35"/>
        <v>0.73063739715540388</v>
      </c>
      <c r="H42" s="150">
        <f t="shared" si="35"/>
        <v>0.75374615648274401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0.20890317762054877</v>
      </c>
      <c r="D43" s="146">
        <f t="shared" si="36"/>
        <v>0.23844898273283535</v>
      </c>
      <c r="E43" s="146">
        <f t="shared" si="36"/>
        <v>0.20789611070514921</v>
      </c>
      <c r="F43" s="146">
        <f t="shared" si="36"/>
        <v>0.2091527537747688</v>
      </c>
      <c r="G43" s="146">
        <f t="shared" si="36"/>
        <v>0.1956916313538179</v>
      </c>
      <c r="H43" s="146">
        <f t="shared" si="36"/>
        <v>0.18019017201750345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5.1931891220120593E-3</v>
      </c>
      <c r="D45" s="146">
        <f t="shared" si="38"/>
        <v>4.1444030307908998E-3</v>
      </c>
      <c r="E45" s="146">
        <f t="shared" si="38"/>
        <v>2.7509192812171647E-3</v>
      </c>
      <c r="F45" s="146">
        <f t="shared" si="38"/>
        <v>5.0766322292434473E-3</v>
      </c>
      <c r="G45" s="146">
        <f t="shared" si="38"/>
        <v>5.0271123067556758E-3</v>
      </c>
      <c r="H45" s="146">
        <f t="shared" si="38"/>
        <v>1.9669428536394796E-3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4.9902853833308697E-2</v>
      </c>
      <c r="D48" s="281">
        <f t="shared" si="41"/>
        <v>-9.1008781922180815E-3</v>
      </c>
      <c r="E48" s="281">
        <f t="shared" si="41"/>
        <v>4.204518564339043E-2</v>
      </c>
      <c r="F48" s="281">
        <f t="shared" si="41"/>
        <v>6.0477447602910371E-2</v>
      </c>
      <c r="G48" s="281">
        <f t="shared" si="41"/>
        <v>6.8643859184022576E-2</v>
      </c>
      <c r="H48" s="281">
        <f t="shared" si="41"/>
        <v>6.4096728646113099E-2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1.32361599389895</v>
      </c>
      <c r="D50" s="153">
        <f t="shared" si="42"/>
        <v>1.0590365901148671</v>
      </c>
      <c r="E50" s="153">
        <f t="shared" si="42"/>
        <v>1.2155372414181227</v>
      </c>
      <c r="F50" s="153">
        <f t="shared" si="42"/>
        <v>0.89130659454536709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0.64598204937936732</v>
      </c>
      <c r="D55" s="150">
        <f t="shared" si="46"/>
        <v>0.63753333157827552</v>
      </c>
      <c r="E55" s="150">
        <f t="shared" si="46"/>
        <v>0.70503016293324283</v>
      </c>
      <c r="F55" s="150">
        <f t="shared" si="46"/>
        <v>0.71429813519379914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0.10406597465064728</v>
      </c>
      <c r="D57" s="146">
        <f t="shared" si="48"/>
        <v>-0.4553849577214063</v>
      </c>
      <c r="E57" s="146">
        <f t="shared" si="48"/>
        <v>6.5427687834448023E-2</v>
      </c>
      <c r="F57" s="146">
        <f t="shared" si="48"/>
        <v>8.3942567526595541E-2</v>
      </c>
      <c r="G57" s="146">
        <f t="shared" si="48"/>
        <v>7.3234698143629109E-2</v>
      </c>
      <c r="H57" s="146">
        <f t="shared" si="48"/>
        <v>3.0687102059439617E-2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1.2166063745959766E-2</v>
      </c>
      <c r="D58" s="146">
        <f>IF(D36="","",IF(Inputs!D38=0,0,Inputs!D38/D29))</f>
        <v>6.3988480529339753E-3</v>
      </c>
      <c r="E58" s="146">
        <f>IF(E36="","",IF(Inputs!E38=0,0,Inputs!E38/E29))</f>
        <v>1.2110007773889174E-2</v>
      </c>
      <c r="F58" s="146">
        <f>IF(F36="","",IF(Inputs!F38=0,0,Inputs!F38/F29))</f>
        <v>5.6068811117627963E-3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0.11289168751093069</v>
      </c>
      <c r="D60" s="156">
        <f t="shared" si="50"/>
        <v>-8.2334339146664711E-3</v>
      </c>
      <c r="E60" s="156">
        <f t="shared" si="50"/>
        <v>7.7232630132861607E-2</v>
      </c>
      <c r="F60" s="156">
        <f t="shared" si="50"/>
        <v>8.1798874692427415E-2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0.10225085285021333</v>
      </c>
      <c r="D61" s="156">
        <f t="shared" si="51"/>
        <v>-1.5117896634325279E-2</v>
      </c>
      <c r="E61" s="156">
        <f t="shared" si="51"/>
        <v>7.2489790733561668E-2</v>
      </c>
      <c r="F61" s="156">
        <f t="shared" si="51"/>
        <v>7.546421474993914E-2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12167429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12207595</v>
      </c>
      <c r="K3" s="75"/>
    </row>
    <row r="4" spans="1:11" ht="15" customHeight="1" x14ac:dyDescent="0.35">
      <c r="B4" s="9" t="s">
        <v>22</v>
      </c>
      <c r="C4" s="3"/>
      <c r="D4" s="144">
        <f>Inputs!C42</f>
        <v>-40166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-6730302</v>
      </c>
      <c r="E6" s="170">
        <f>1-D6/D3</f>
        <v>1.5531408484076628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6730302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6730302</v>
      </c>
      <c r="J48" s="187"/>
    </row>
    <row r="49" spans="2:11" ht="15" customHeight="1" thickTop="1" x14ac:dyDescent="0.35">
      <c r="B49" s="9" t="s">
        <v>14</v>
      </c>
      <c r="C49" s="184">
        <f>Inputs!C41+Inputs!C37</f>
        <v>18897731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6730302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-9.9351102555851121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-9.9351102555851121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-9.9351102555851121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18897731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6730302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12167429</v>
      </c>
      <c r="D70" s="34">
        <f t="shared" si="2"/>
        <v>-0.55314084840766276</v>
      </c>
      <c r="E70" s="202">
        <f>E68-E69</f>
        <v>-6730302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25013339</v>
      </c>
      <c r="D74" s="98"/>
      <c r="E74" s="256">
        <f>Inputs!E91</f>
        <v>17509337.300000001</v>
      </c>
      <c r="F74" s="98"/>
      <c r="H74" s="256">
        <f>Inputs!F91</f>
        <v>20010671.199999999</v>
      </c>
      <c r="I74" s="98"/>
      <c r="K74" s="75"/>
    </row>
    <row r="75" spans="1:11" ht="15" customHeight="1" x14ac:dyDescent="0.35">
      <c r="B75" s="100" t="s">
        <v>98</v>
      </c>
      <c r="C75" s="97">
        <f>Data!C8</f>
        <v>18409837</v>
      </c>
      <c r="D75" s="101">
        <f>C75/$C$74</f>
        <v>0.73600077942413045</v>
      </c>
      <c r="E75" s="256">
        <f>Inputs!E92</f>
        <v>12886885.9</v>
      </c>
      <c r="F75" s="211">
        <f>E75/E74</f>
        <v>0.73600077942413045</v>
      </c>
      <c r="H75" s="256">
        <f>Inputs!F92</f>
        <v>14727869.6</v>
      </c>
      <c r="I75" s="211">
        <f>H75/$H$74</f>
        <v>0.73600077942413045</v>
      </c>
      <c r="K75" s="75"/>
    </row>
    <row r="76" spans="1:11" ht="15" customHeight="1" x14ac:dyDescent="0.35">
      <c r="B76" s="12" t="s">
        <v>88</v>
      </c>
      <c r="C76" s="145">
        <f>C74-C75</f>
        <v>6603502</v>
      </c>
      <c r="D76" s="212"/>
      <c r="E76" s="213">
        <f>E74-E75</f>
        <v>4622451.4000000004</v>
      </c>
      <c r="F76" s="212"/>
      <c r="H76" s="213">
        <f>H74-H75</f>
        <v>5282801.5999999996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5225366</v>
      </c>
      <c r="D77" s="101">
        <f>C77/$C$74</f>
        <v>0.20890317762054877</v>
      </c>
      <c r="E77" s="256">
        <f>Inputs!E93</f>
        <v>3657756.2</v>
      </c>
      <c r="F77" s="211">
        <f>E77/E74</f>
        <v>0.20890317762054877</v>
      </c>
      <c r="H77" s="256">
        <f>Inputs!F93</f>
        <v>4180292.8</v>
      </c>
      <c r="I77" s="211">
        <f>H77/$H$74</f>
        <v>0.20890317762054877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1378136</v>
      </c>
      <c r="D79" s="217">
        <f>C79/C74</f>
        <v>5.5096042955320758E-2</v>
      </c>
      <c r="E79" s="218">
        <f>E76-E77-E78</f>
        <v>964695.20000000019</v>
      </c>
      <c r="F79" s="217">
        <f>E79/E74</f>
        <v>5.5096042955320765E-2</v>
      </c>
      <c r="G79" s="219"/>
      <c r="H79" s="218">
        <f>H76-H77-H78</f>
        <v>1102508.7999999998</v>
      </c>
      <c r="I79" s="217">
        <f>H79/H74</f>
        <v>5.5096042955320751E-2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129899</v>
      </c>
      <c r="D81" s="101">
        <f>C81/$C$74</f>
        <v>5.1931891220120593E-3</v>
      </c>
      <c r="E81" s="214">
        <f>E74*F81</f>
        <v>90929.3</v>
      </c>
      <c r="F81" s="211">
        <f>I81</f>
        <v>5.1931891220120593E-3</v>
      </c>
      <c r="H81" s="256">
        <f>Inputs!F94</f>
        <v>103919.2</v>
      </c>
      <c r="I81" s="211">
        <f>H81/$H$74</f>
        <v>5.1931891220120593E-3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1248237</v>
      </c>
      <c r="D83" s="223">
        <f>C83/$C$74</f>
        <v>4.9902853833308697E-2</v>
      </c>
      <c r="E83" s="224">
        <f>E79-E81-E82-E80</f>
        <v>873765.90000000014</v>
      </c>
      <c r="F83" s="223">
        <f>E83/E74</f>
        <v>4.9902853833308704E-2</v>
      </c>
      <c r="H83" s="224">
        <f>H79-H81-H82-H80</f>
        <v>998589.59999999986</v>
      </c>
      <c r="I83" s="223">
        <f>H83/$H$74</f>
        <v>4.9902853833308697E-2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936177.75</v>
      </c>
      <c r="D85" s="217">
        <f>C85/$C$74</f>
        <v>3.7427140374981523E-2</v>
      </c>
      <c r="E85" s="229">
        <f>E83*(1-F84)</f>
        <v>655324.42500000005</v>
      </c>
      <c r="F85" s="217">
        <f>E85/E74</f>
        <v>3.7427140374981523E-2</v>
      </c>
      <c r="G85" s="219"/>
      <c r="H85" s="229">
        <f>H83*(1-I84)</f>
        <v>748942.2</v>
      </c>
      <c r="I85" s="217">
        <f>H85/$H$74</f>
        <v>3.7427140374981523E-2</v>
      </c>
      <c r="K85" s="75"/>
    </row>
    <row r="86" spans="1:11" ht="15" customHeight="1" x14ac:dyDescent="0.35">
      <c r="B86" s="3" t="s">
        <v>144</v>
      </c>
      <c r="C86" s="230">
        <f>C85*Data!C4/Common_Shares</f>
        <v>1.3819631221712778</v>
      </c>
      <c r="D86" s="98"/>
      <c r="E86" s="231">
        <f>E85*Data!C4/Common_Shares</f>
        <v>0.9673741855198944</v>
      </c>
      <c r="F86" s="98"/>
      <c r="H86" s="231">
        <f>H85*Data!C4/Common_Shares</f>
        <v>1.1055704977370222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0.21831960855786378</v>
      </c>
      <c r="D87" s="98"/>
      <c r="E87" s="233">
        <f>E86*Exchange_Rate/Dashboard!G3</f>
        <v>0.15282372599050464</v>
      </c>
      <c r="F87" s="98"/>
      <c r="H87" s="233">
        <f>H86*Exchange_Rate/Dashboard!G3</f>
        <v>0.17465568684629101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0.55000000000000004</v>
      </c>
      <c r="D88" s="235">
        <f>C88/C86</f>
        <v>0.3979845707719501</v>
      </c>
      <c r="E88" s="255">
        <f>Inputs!E98</f>
        <v>0.44000000000000006</v>
      </c>
      <c r="F88" s="235">
        <f>E88/E86</f>
        <v>0.45483950945365731</v>
      </c>
      <c r="H88" s="255">
        <f>Inputs!F98</f>
        <v>0.55000000000000004</v>
      </c>
      <c r="I88" s="235">
        <f>H88/H86</f>
        <v>0.49748071346493766</v>
      </c>
      <c r="K88" s="75"/>
    </row>
    <row r="89" spans="1:11" ht="15" customHeight="1" x14ac:dyDescent="0.35">
      <c r="B89" s="3" t="s">
        <v>194</v>
      </c>
      <c r="C89" s="232">
        <f>C88*Exchange_Rate/Dashboard!G3</f>
        <v>8.6887835703001584E-2</v>
      </c>
      <c r="D89" s="98"/>
      <c r="E89" s="232">
        <f>E88*Exchange_Rate/Dashboard!G3</f>
        <v>6.9510268562401278E-2</v>
      </c>
      <c r="F89" s="98"/>
      <c r="H89" s="232">
        <f>H88*Exchange_Rate/Dashboard!G3</f>
        <v>8.6887835703001584E-2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31.065863420198777</v>
      </c>
      <c r="H93" s="3" t="s">
        <v>183</v>
      </c>
      <c r="I93" s="237">
        <f>FV(H87,D93,0,-(H86/(C93-D94)))*Exchange_Rate</f>
        <v>38.270672498822201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10.467183110038217</v>
      </c>
      <c r="H94" s="3" t="s">
        <v>184</v>
      </c>
      <c r="I94" s="237">
        <f>FV(H89,D93,0,-(H88/(C93-D94)))*Exchange_Rate</f>
        <v>13.95529151130642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14823016.549075874</v>
      </c>
      <c r="D97" s="244"/>
      <c r="E97" s="245">
        <f>PV(C94,D93,0,-F93)</f>
        <v>17.762008237648544</v>
      </c>
      <c r="F97" s="244"/>
      <c r="H97" s="245">
        <f>PV(C94,D93,0,-I93)</f>
        <v>21.881381212229638</v>
      </c>
      <c r="I97" s="245">
        <f>PV(C93,D93,0,-I93)</f>
        <v>28.657099842016205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-6730302</v>
      </c>
      <c r="D99" s="248"/>
      <c r="E99" s="249">
        <f>IF(H99&gt;0,I64,H99)</f>
        <v>-9.9351102555851121</v>
      </c>
      <c r="F99" s="248"/>
      <c r="H99" s="249">
        <f>I64</f>
        <v>-9.9351102555851121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7.8268979820634321</v>
      </c>
      <c r="E100" s="251">
        <f>MAX(E97+H98+E99,0)</f>
        <v>7.8268979820634321</v>
      </c>
      <c r="F100" s="251">
        <f>(E100+H100)/2</f>
        <v>9.8865844693539788</v>
      </c>
      <c r="H100" s="251">
        <f>MAX(H97+H98+H99,0)</f>
        <v>11.946270956644526</v>
      </c>
      <c r="I100" s="251">
        <f>MAX(I97+H98+H99,0)</f>
        <v>18.721989586431093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5.9345423803210959</v>
      </c>
      <c r="E103" s="245">
        <f>PV(C94,D93,0,-F94)</f>
        <v>5.9846459153809315</v>
      </c>
      <c r="F103" s="251">
        <f>(E103+H103)/2</f>
        <v>6.9818145650836421</v>
      </c>
      <c r="H103" s="245">
        <f>PV(C94,D93,0,-I94)</f>
        <v>7.9789832147863535</v>
      </c>
      <c r="I103" s="251">
        <f>PV(C93,D93,0,-I94)</f>
        <v>10.449729676849994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6.880720181192264</v>
      </c>
      <c r="E106" s="245">
        <f>(E100+E103)/2</f>
        <v>6.9057719487221814</v>
      </c>
      <c r="F106" s="251">
        <f>(F100+F103)/2</f>
        <v>8.4341995172188113</v>
      </c>
      <c r="H106" s="245">
        <f>(H100+H103)/2</f>
        <v>9.9626270857154395</v>
      </c>
      <c r="I106" s="245">
        <f>(I100+I103)/2</f>
        <v>14.585859631640544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