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29EA299-B264-4FF8-B84E-5D8A4A92A43A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E92" i="4" l="1"/>
  <c r="F92" i="4"/>
  <c r="F9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<sst xmlns="http://schemas.openxmlformats.org/spreadsheetml/2006/main" count="405" uniqueCount="287">
  <si>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</si>
  <si>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</si>
  <si>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</si>
  <si>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</si>
  <si>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</si>
  <si>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</si>
  <si>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</si>
  <si>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</si>
  <si>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</si>
  <si>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</si>
  <si>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</si>
  <si>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</si>
  <si>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</si>
  <si>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</si>
  <si>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</si>
  <si>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</si>
  <si>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</si>
  <si>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</si>
  <si>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</si>
  <si>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</si>
  <si>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</si>
  <si>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</si>
  <si>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</si>
  <si>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</si>
  <si>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</si>
  <si>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</si>
  <si>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</si>
  <si>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</si>
  <si>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</si>
  <si>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</si>
  <si>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</si>
  <si>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</si>
  <si>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</si>
  <si>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</si>
  <si>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</si>
  <si>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</si>
  <si>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</si>
  <si>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</si>
  <si>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</si>
  <si>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</si>
  <si>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</si>
  <si>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</si>
  <si>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</si>
  <si>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</si>
  <si>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</si>
  <si>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</si>
  <si>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</si>
  <si>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</si>
  <si>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</si>
  <si>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</si>
  <si>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</si>
  <si>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</si>
  <si>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</si>
  <si>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</si>
  <si>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</si>
  <si>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</si>
  <si>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</si>
  <si>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</si>
  <si>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</si>
  <si>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</si>
  <si>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</si>
  <si>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</si>
  <si>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</si>
  <si>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</si>
  <si>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</si>
  <si>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</si>
  <si>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</si>
  <si>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</si>
  <si>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</si>
  <si>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</si>
  <si>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</si>
  <si>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</si>
  <si>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</si>
  <si>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</si>
  <si>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</si>
  <si>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</si>
  <si>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</si>
  <si>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</si>
  <si>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</si>
  <si>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</si>
  <si>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</si>
  <si>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</si>
  <si>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</si>
  <si>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</si>
  <si>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</si>
  <si>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</si>
  <si>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</si>
  <si>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</si>
  <si>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</si>
  <si>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</si>
  <si>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</si>
  <si>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</si>
  <si>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</si>
  <si>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</si>
  <si>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</si>
  <si>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</si>
  <si>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</si>
  <si>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</si>
  <si>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</si>
  <si>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</si>
  <si>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</si>
  <si>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</si>
  <si>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</si>
  <si>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</si>
  <si>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</si>
  <si>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</si>
  <si>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</si>
  <si>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</si>
  <si>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</si>
  <si>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</si>
  <si>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</si>
  <si>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</si>
  <si>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</si>
  <si>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</si>
  <si>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</si>
  <si>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</si>
  <si>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</si>
  <si>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</si>
  <si>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</si>
  <si>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</si>
  <si>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</si>
  <si>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</si>
  <si>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</si>
  <si>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</si>
  <si>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</si>
  <si>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</si>
  <si>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</si>
  <si>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</si>
  <si>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</si>
  <si>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</si>
  <si>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</si>
  <si>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</si>
  <si>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</si>
  <si>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</si>
  <si>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</si>
  <si>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</si>
  <si>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</si>
  <si>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</si>
  <si>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</si>
  <si>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</si>
  <si>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</si>
  <si>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</si>
  <si>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</si>
  <si>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</si>
  <si>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</si>
  <si>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</si>
  <si>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</si>
  <si>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</si>
  <si>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</si>
  <si>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</si>
  <si>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</si>
  <si>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</si>
  <si>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</si>
  <si>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</si>
  <si>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</si>
  <si>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</si>
  <si>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</si>
  <si>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</si>
  <si>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</si>
  <si>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</si>
  <si>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</si>
  <si>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</si>
  <si>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</si>
  <si>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</si>
  <si>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</si>
  <si>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</si>
  <si>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</si>
  <si>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</si>
  <si>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</si>
  <si>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</si>
  <si>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</si>
  <si>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</si>
  <si>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</si>
  <si>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</si>
  <si>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</si>
  <si>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</si>
  <si>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</si>
  <si>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</si>
  <si>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</si>
  <si>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</si>
  <si>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</si>
  <si>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</si>
  <si>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</si>
  <si>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</si>
  <si>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</si>
  <si>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</si>
  <si>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</si>
  <si>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</si>
  <si>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</si>
  <si>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</si>
  <si>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</si>
  <si>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</si>
  <si>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</si>
  <si>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</si>
  <si>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</si>
  <si>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</si>
  <si>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</si>
  <si>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</si>
  <si>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</si>
  <si>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</si>
  <si>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</si>
  <si>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</si>
  <si>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</si>
  <si>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</si>
  <si>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</si>
  <si>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</si>
  <si>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</si>
  <si>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</si>
  <si>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</si>
  <si>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</si>
  <si>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</si>
  <si>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</si>
  <si>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</si>
  <si>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</si>
  <si>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</si>
  <si>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</si>
  <si>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</si>
  <si>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</si>
  <si>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</si>
  <si>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</si>
  <si>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</si>
  <si>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</si>
  <si>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</si>
  <si>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</si>
  <si>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</si>
  <si>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</si>
  <si>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</si>
  <si>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</si>
  <si>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</si>
  <si>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</si>
  <si>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</si>
  <si>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</si>
  <si>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</si>
  <si>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</si>
  <si>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</si>
  <si>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</si>
  <si>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</si>
  <si>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</si>
  <si>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</si>
  <si>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</si>
  <si>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</si>
  <si>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</si>
  <si>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</si>
  <si>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</si>
  <si>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</si>
  <si>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</si>
  <si>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</si>
  <si>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</si>
  <si>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</si>
  <si>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</si>
  <si>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</si>
  <si>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</si>
  <si>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</si>
  <si>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</si>
  <si>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</si>
  <si>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</si>
  <si>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</si>
  <si>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</si>
  <si>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</si>
  <si>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</si>
  <si>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</si>
  <si>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</si>
  <si>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</si>
  <si>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</si>
  <si>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</si>
  <si>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</si>
  <si>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</si>
  <si>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</si>
  <si>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</si>
  <si>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</si>
  <si>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</si>
  <si>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</si>
  <si>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</si>
  <si>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</si>
  <si>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</si>
  <si>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</si>
  <si>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</si>
  <si>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</si>
  <si>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</si>
  <si>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</si>
  <si>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</si>
  <si>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</si>
  <si>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</si>
  <si>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0175.HK</t>
  </si>
  <si>
    <t>吉利汽車</t>
  </si>
  <si>
    <t>C0006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</si>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</sst>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10071700480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179203592</v>
      </c>
      <c r="D25" s="77">
        <v>147964647</v>
      </c>
      <c r="E25" s="77">
        <v>101611056</v>
      </c>
      <c r="F25" s="77">
        <v>92113878</v>
      </c>
      <c r="G25" s="77">
        <v>0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151788523</v>
      </c>
      <c r="D26" s="78">
        <v>127069010</v>
      </c>
      <c r="E26" s="78">
        <v>84198821</v>
      </c>
      <c r="F26" s="78">
        <v>77376859</v>
      </c>
      <c r="G26" s="78">
        <v>0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23852114</v>
      </c>
      <c r="D27" s="78">
        <v>18320074</v>
      </c>
      <c r="E27" s="78">
        <v>14230292</v>
      </c>
      <c r="F27" s="78">
        <v>10798510</v>
      </c>
      <c r="G27" s="78">
        <v>0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0.19021246747798443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1.3525975974585469E-2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179203592</v>
      </c>
      <c r="D91" s="98"/>
      <c r="E91" s="99">
        <f>C91</f>
        <v>179203592</v>
      </c>
      <c r="F91" s="99">
        <f>C91</f>
        <v>179203592</v>
      </c>
    </row>
    <row r="92" spans="2:8" x14ac:dyDescent="0.35">
      <c r="B92" s="100" t="s">
        <v>97</v>
      </c>
      <c r="C92" s="97">
        <f>C26</f>
        <v>151788523</v>
      </c>
      <c r="D92" s="101">
        <f>C92/C91</f>
        <v>0.8470171903697109</v>
      </c>
      <c r="E92" s="102">
        <f>E91*D92</f>
        <v>151788523</v>
      </c>
      <c r="F92" s="102">
        <f>F91*D92</f>
        <v>151788523</v>
      </c>
    </row>
    <row r="93" spans="2:8" x14ac:dyDescent="0.35">
      <c r="B93" s="100" t="s">
        <v>216</v>
      </c>
      <c r="C93" s="97">
        <f>C27+C28</f>
        <v>23852114</v>
      </c>
      <c r="D93" s="101">
        <f>C93/C91</f>
        <v>0.13310064677721414</v>
      </c>
      <c r="E93" s="102">
        <f>E91*D93</f>
        <v>23852114</v>
      </c>
      <c r="F93" s="102">
        <f>F91*D93</f>
        <v>23852114</v>
      </c>
    </row>
    <row r="94" spans="2:8" x14ac:dyDescent="0.35">
      <c r="B94" s="100" t="s">
        <v>222</v>
      </c>
      <c r="C94" s="97">
        <f>C29</f>
        <v>0</v>
      </c>
      <c r="D94" s="101">
        <f>C94/C91</f>
        <v>0</v>
      </c>
      <c r="E94" s="103"/>
      <c r="F94" s="102">
        <f>F91*D94</f>
        <v>0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0.19021246747798443</v>
      </c>
      <c r="D98" s="105"/>
      <c r="E98" s="106">
        <f>F98</f>
        <v>0.19021246747798443</v>
      </c>
      <c r="F98" s="106">
        <f>C98</f>
        <v>0.19021246747798443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0175.HK : 吉利汽車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0175.HK</v>
      </c>
      <c r="D3" s="317"/>
      <c r="E3" s="3"/>
      <c r="F3" s="9" t="s">
        <v>1</v>
      </c>
      <c r="G3" s="10">
        <v>14.96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吉利汽車</v>
      </c>
      <c r="D4" s="319"/>
      <c r="E4" s="3"/>
      <c r="F4" s="9" t="s">
        <v>2</v>
      </c>
      <c r="G4" s="322">
        <f>Inputs!C10</f>
        <v>10071700480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45633</v>
      </c>
      <c r="D5" s="321"/>
      <c r="E5" s="16"/>
      <c r="F5" s="12" t="s">
        <v>91</v>
      </c>
      <c r="G5" s="314">
        <f>G3*G4/1000000</f>
        <v>150672.6391808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C0006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1.9882162853074953E-2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0</v>
      </c>
      <c r="F24" s="39" t="s">
        <v>224</v>
      </c>
      <c r="G24" s="43">
        <f>G3/(Fin_Analysis!H86*G7)</f>
        <v>53.003136364187554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0.71691914903967835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1.3525975974585469E-2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2.6875995312753518</v>
      </c>
      <c r="D29" s="54">
        <f>G29*(1+G20)</f>
        <v>4.7621270263848814</v>
      </c>
      <c r="E29" s="3"/>
      <c r="F29" s="55">
        <f>IF(Fin_Analysis!C108="Profit",Fin_Analysis!F100,IF(Fin_Analysis!C108="Dividend",Fin_Analysis!F103,Fin_Analysis!F106))</f>
        <v>3.1618818015004138</v>
      </c>
      <c r="G29" s="313">
        <f>IF(Fin_Analysis!C108="Profit",Fin_Analysis!I100,IF(Fin_Analysis!C108="Dividend",Fin_Analysis!I103,Fin_Analysis!I106))</f>
        <v>4.1409800229433751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3562955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179203592</v>
      </c>
      <c r="D6" s="142">
        <f>IF(Inputs!D25="","",Inputs!D25)</f>
        <v>147964647</v>
      </c>
      <c r="E6" s="142">
        <f>IF(Inputs!E25="","",Inputs!E25)</f>
        <v>101611056</v>
      </c>
      <c r="F6" s="142">
        <f>IF(Inputs!F25="","",Inputs!F25)</f>
        <v>92113878</v>
      </c>
      <c r="G6" s="142">
        <f>IF(Inputs!G25="","",Inputs!G25)</f>
        <v>0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0.21112438432675074</v>
      </c>
      <c r="D7" s="143">
        <f t="shared" si="1"/>
        <v>0.45618649017878532</v>
      </c>
      <c r="E7" s="143">
        <f t="shared" si="1"/>
        <v>0.10310257483676888</v>
      </c>
      <c r="F7" s="143" t="e">
        <f t="shared" si="1"/>
        <v>#DIV/0!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151788523</v>
      </c>
      <c r="D8" s="144">
        <f>IF(Inputs!D26="","",Inputs!D26)</f>
        <v>127069010</v>
      </c>
      <c r="E8" s="144">
        <f>IF(Inputs!E26="","",Inputs!E26)</f>
        <v>84198821</v>
      </c>
      <c r="F8" s="144">
        <f>IF(Inputs!F26="","",Inputs!F26)</f>
        <v>77376859</v>
      </c>
      <c r="G8" s="144">
        <f>IF(Inputs!G26="","",Inputs!G26)</f>
        <v>0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27415069</v>
      </c>
      <c r="D9" s="273">
        <f t="shared" si="2"/>
        <v>20895637</v>
      </c>
      <c r="E9" s="273">
        <f t="shared" si="2"/>
        <v>17412235</v>
      </c>
      <c r="F9" s="273">
        <f t="shared" si="2"/>
        <v>14737019</v>
      </c>
      <c r="G9" s="273">
        <f t="shared" si="2"/>
        <v>0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23852114</v>
      </c>
      <c r="D10" s="144">
        <f>IF(Inputs!D27="","",Inputs!D27)</f>
        <v>18320074</v>
      </c>
      <c r="E10" s="144">
        <f>IF(Inputs!E27="","",Inputs!E27)</f>
        <v>14230292</v>
      </c>
      <c r="F10" s="144">
        <f>IF(Inputs!F27="","",Inputs!F27)</f>
        <v>10798510</v>
      </c>
      <c r="G10" s="144">
        <f>IF(Inputs!G27="","",Inputs!G27)</f>
        <v>0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1.9882162853074953E-2</v>
      </c>
      <c r="D13" s="292">
        <f t="shared" si="3"/>
        <v>1.7406610648015131E-2</v>
      </c>
      <c r="E13" s="292">
        <f t="shared" si="3"/>
        <v>3.1314928958124398E-2</v>
      </c>
      <c r="F13" s="292">
        <f t="shared" si="3"/>
        <v>4.2756955689130793E-2</v>
      </c>
      <c r="G13" s="292" t="e">
        <f t="shared" si="3"/>
        <v>#DIV/0!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3562955</v>
      </c>
      <c r="D14" s="294">
        <f t="shared" ref="D14:M14" si="4">IF(D6="","",D9-D10-MAX(D11,0)-MAX(D12,0))</f>
        <v>2575563</v>
      </c>
      <c r="E14" s="294">
        <f t="shared" si="4"/>
        <v>3181943</v>
      </c>
      <c r="F14" s="294">
        <f t="shared" si="4"/>
        <v>3938509</v>
      </c>
      <c r="G14" s="294">
        <f t="shared" si="4"/>
        <v>0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0.38336938370367957</v>
      </c>
      <c r="D15" s="296">
        <f t="shared" ref="D15:M15" si="5">IF(E14="","",IF(ABS(D14+E14)=ABS(D14)+ABS(E14),IF(D14&lt;0,-1,1)*(D14-E14)/E14,"Turn"))</f>
        <v>-0.19056909567518965</v>
      </c>
      <c r="E15" s="296">
        <f t="shared" si="5"/>
        <v>-0.19209452104844751</v>
      </c>
      <c r="F15" s="296" t="e">
        <f t="shared" si="5"/>
        <v>#DIV/0!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 t="str">
        <f>IF(Inputs!C29="","",Inputs!C29)</f>
        <v/>
      </c>
      <c r="D19" s="144" t="str">
        <f>IF(Inputs!D29="","",Inputs!D29)</f>
        <v/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e">
        <f t="shared" si="8"/>
        <v>#DIV/0!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3562955</v>
      </c>
      <c r="D24" s="309">
        <f t="shared" si="9"/>
        <v>2575563</v>
      </c>
      <c r="E24" s="309">
        <f t="shared" si="9"/>
        <v>3181943</v>
      </c>
      <c r="F24" s="309">
        <f t="shared" si="9"/>
        <v>3938509</v>
      </c>
      <c r="G24" s="309">
        <f t="shared" si="9"/>
        <v>0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1.4911622139806216E-2</v>
      </c>
      <c r="D25" s="143">
        <f t="shared" si="10"/>
        <v>1.3054957986011348E-2</v>
      </c>
      <c r="E25" s="143">
        <f t="shared" si="10"/>
        <v>2.34861967185933E-2</v>
      </c>
      <c r="F25" s="143">
        <f t="shared" si="10"/>
        <v>3.2067716766848095E-2</v>
      </c>
      <c r="G25" s="143" t="e">
        <f t="shared" si="10"/>
        <v>#DIV/0!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2672216.25</v>
      </c>
      <c r="D26" s="276">
        <f>IF(D6="","",D24*(1-Fin_Analysis!$I$84))</f>
        <v>1931672.25</v>
      </c>
      <c r="E26" s="276">
        <f>IF(E6="","",E24*(1-Fin_Analysis!$I$84))</f>
        <v>2386457.25</v>
      </c>
      <c r="F26" s="276">
        <f>IF(F6="","",F24*(1-Fin_Analysis!$I$84))</f>
        <v>2953881.75</v>
      </c>
      <c r="G26" s="276">
        <f>IF(G6="","",G24*(1-Fin_Analysis!$I$84))</f>
        <v>0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0.38336938370367957</v>
      </c>
      <c r="D27" s="305">
        <f t="shared" si="11"/>
        <v>-0.19056909567518965</v>
      </c>
      <c r="E27" s="305">
        <f t="shared" si="11"/>
        <v>-0.19209452104844751</v>
      </c>
      <c r="F27" s="305" t="e">
        <f t="shared" si="11"/>
        <v>#DIV/0!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0.8470171903697109</v>
      </c>
      <c r="D42" s="150">
        <f t="shared" si="35"/>
        <v>0.85877952995082674</v>
      </c>
      <c r="E42" s="150">
        <f t="shared" si="35"/>
        <v>0.82863838163437653</v>
      </c>
      <c r="F42" s="150">
        <f t="shared" si="35"/>
        <v>0.84001304342001537</v>
      </c>
      <c r="G42" s="150" t="e">
        <f t="shared" si="35"/>
        <v>#DIV/0!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0.13310064677721414</v>
      </c>
      <c r="D43" s="146">
        <f t="shared" si="36"/>
        <v>0.12381385940115817</v>
      </c>
      <c r="E43" s="146">
        <f t="shared" si="36"/>
        <v>0.14004668940749912</v>
      </c>
      <c r="F43" s="146">
        <f t="shared" si="36"/>
        <v>0.11723000089085382</v>
      </c>
      <c r="G43" s="146" t="e">
        <f t="shared" si="36"/>
        <v>#DIV/0!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e">
        <f t="shared" si="37"/>
        <v>#DIV/0!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</v>
      </c>
      <c r="D45" s="146">
        <f t="shared" si="38"/>
        <v>0</v>
      </c>
      <c r="E45" s="146">
        <f t="shared" si="38"/>
        <v>0</v>
      </c>
      <c r="F45" s="146">
        <f t="shared" si="38"/>
        <v>0</v>
      </c>
      <c r="G45" s="146" t="e">
        <f t="shared" si="38"/>
        <v>#DIV/0!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e">
        <f t="shared" si="39"/>
        <v>#DIV/0!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e">
        <f t="shared" si="40"/>
        <v>#DIV/0!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1.9882162853074953E-2</v>
      </c>
      <c r="D48" s="281">
        <f t="shared" si="41"/>
        <v>1.7406610648015131E-2</v>
      </c>
      <c r="E48" s="281">
        <f t="shared" si="41"/>
        <v>3.1314928958124398E-2</v>
      </c>
      <c r="F48" s="281">
        <f t="shared" si="41"/>
        <v>4.2756955689130793E-2</v>
      </c>
      <c r="G48" s="281" t="e">
        <f t="shared" si="41"/>
        <v>#DIV/0!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 t="str">
        <f t="shared" ref="C57:M57" si="48">IF(C24="","",IF(MAX(C19,0)&lt;=0,"-",C19/C24))</f>
        <v>-</v>
      </c>
      <c r="D57" s="146" t="str">
        <f t="shared" si="48"/>
        <v>-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>-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179203592</v>
      </c>
      <c r="D74" s="98"/>
      <c r="E74" s="256">
        <f>Inputs!E91</f>
        <v>179203592</v>
      </c>
      <c r="F74" s="98"/>
      <c r="H74" s="256">
        <f>Inputs!F91</f>
        <v>179203592</v>
      </c>
      <c r="I74" s="98"/>
      <c r="K74" s="75"/>
    </row>
    <row r="75" spans="1:11" ht="15" customHeight="1" x14ac:dyDescent="0.35">
      <c r="B75" s="100" t="s">
        <v>97</v>
      </c>
      <c r="C75" s="97">
        <f>Data!C8</f>
        <v>151788523</v>
      </c>
      <c r="D75" s="101">
        <f>C75/$C$74</f>
        <v>0.8470171903697109</v>
      </c>
      <c r="E75" s="256">
        <f>Inputs!E92</f>
        <v>151788523</v>
      </c>
      <c r="F75" s="211">
        <f>E75/E74</f>
        <v>0.8470171903697109</v>
      </c>
      <c r="H75" s="256">
        <f>Inputs!F92</f>
        <v>151788523</v>
      </c>
      <c r="I75" s="211">
        <f>H75/$H$74</f>
        <v>0.8470171903697109</v>
      </c>
      <c r="K75" s="75"/>
    </row>
    <row r="76" spans="1:11" ht="15" customHeight="1" x14ac:dyDescent="0.35">
      <c r="B76" s="12" t="s">
        <v>87</v>
      </c>
      <c r="C76" s="145">
        <f>C74-C75</f>
        <v>27415069</v>
      </c>
      <c r="D76" s="212"/>
      <c r="E76" s="213">
        <f>E74-E75</f>
        <v>27415069</v>
      </c>
      <c r="F76" s="212"/>
      <c r="H76" s="213">
        <f>H74-H75</f>
        <v>27415069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23852114</v>
      </c>
      <c r="D77" s="101">
        <f>C77/$C$74</f>
        <v>0.13310064677721414</v>
      </c>
      <c r="E77" s="256">
        <f>Inputs!E93</f>
        <v>23852114</v>
      </c>
      <c r="F77" s="211">
        <f>E77/E74</f>
        <v>0.13310064677721414</v>
      </c>
      <c r="H77" s="256">
        <f>Inputs!F93</f>
        <v>23852114</v>
      </c>
      <c r="I77" s="211">
        <f>H77/$H$74</f>
        <v>0.13310064677721414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3562955</v>
      </c>
      <c r="D79" s="217">
        <f>C79/C74</f>
        <v>1.9882162853074953E-2</v>
      </c>
      <c r="E79" s="218">
        <f>E76-E77-E78</f>
        <v>3562955</v>
      </c>
      <c r="F79" s="217">
        <f>E79/E74</f>
        <v>1.9882162853074953E-2</v>
      </c>
      <c r="G79" s="219"/>
      <c r="H79" s="218">
        <f>H76-H77-H78</f>
        <v>3562955</v>
      </c>
      <c r="I79" s="217">
        <f>H79/H74</f>
        <v>1.9882162853074953E-2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0</v>
      </c>
      <c r="D81" s="101">
        <f>C81/$C$74</f>
        <v>0</v>
      </c>
      <c r="E81" s="214">
        <f>E74*F81</f>
        <v>0</v>
      </c>
      <c r="F81" s="211">
        <f>I81</f>
        <v>0</v>
      </c>
      <c r="H81" s="256">
        <f>Inputs!F94</f>
        <v>0</v>
      </c>
      <c r="I81" s="211">
        <f>H81/$H$74</f>
        <v>0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3562955</v>
      </c>
      <c r="D83" s="223">
        <f>C83/$C$74</f>
        <v>1.9882162853074953E-2</v>
      </c>
      <c r="E83" s="224">
        <f>E79-E81-E82-E80</f>
        <v>3562955</v>
      </c>
      <c r="F83" s="223">
        <f>E83/E74</f>
        <v>1.9882162853074953E-2</v>
      </c>
      <c r="H83" s="224">
        <f>H79-H81-H82-H80</f>
        <v>3562955</v>
      </c>
      <c r="I83" s="223">
        <f>H83/$H$74</f>
        <v>1.9882162853074953E-2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2672216.25</v>
      </c>
      <c r="D85" s="217">
        <f>C85/$C$74</f>
        <v>1.4911622139806216E-2</v>
      </c>
      <c r="E85" s="229">
        <f>E83*(1-F84)</f>
        <v>2672216.25</v>
      </c>
      <c r="F85" s="217">
        <f>E85/E74</f>
        <v>1.4911622139806216E-2</v>
      </c>
      <c r="G85" s="219"/>
      <c r="H85" s="229">
        <f>H83*(1-I84)</f>
        <v>2672216.25</v>
      </c>
      <c r="I85" s="217">
        <f>H85/$H$74</f>
        <v>1.4911622139806216E-2</v>
      </c>
      <c r="K85" s="75"/>
    </row>
    <row r="86" spans="1:11" ht="15" customHeight="1" x14ac:dyDescent="0.35">
      <c r="B86" s="3" t="s">
        <v>143</v>
      </c>
      <c r="C86" s="230">
        <f>C85*Data!C4/Common_Shares</f>
        <v>0.26531927307671482</v>
      </c>
      <c r="D86" s="98"/>
      <c r="E86" s="231">
        <f>E85*Data!C4/Common_Shares</f>
        <v>0.26531927307671482</v>
      </c>
      <c r="F86" s="98"/>
      <c r="H86" s="231">
        <f>H85*Data!C4/Common_Shares</f>
        <v>0.26531927307671482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1.8866808053186575E-2</v>
      </c>
      <c r="D87" s="98"/>
      <c r="E87" s="233">
        <f>E86*Exchange_Rate/Dashboard!G3</f>
        <v>1.8866808053186575E-2</v>
      </c>
      <c r="F87" s="98"/>
      <c r="H87" s="233">
        <f>H86*Exchange_Rate/Dashboard!G3</f>
        <v>1.8866808053186575E-2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0.19021246747798443</v>
      </c>
      <c r="D88" s="235">
        <f>C88/C86</f>
        <v>0.71691914903967835</v>
      </c>
      <c r="E88" s="255">
        <f>Inputs!E98</f>
        <v>0.19021246747798443</v>
      </c>
      <c r="F88" s="235">
        <f>E88/E86</f>
        <v>0.71691914903967835</v>
      </c>
      <c r="H88" s="255">
        <f>Inputs!F98</f>
        <v>0.19021246747798443</v>
      </c>
      <c r="I88" s="235">
        <f>H88/H86</f>
        <v>0.71691914903967835</v>
      </c>
      <c r="K88" s="75"/>
    </row>
    <row r="89" spans="1:11" ht="15" customHeight="1" x14ac:dyDescent="0.35">
      <c r="B89" s="3" t="s">
        <v>193</v>
      </c>
      <c r="C89" s="232">
        <f>C88*Exchange_Rate/Dashboard!G3</f>
        <v>1.3525975974585469E-2</v>
      </c>
      <c r="D89" s="98"/>
      <c r="E89" s="232">
        <f>E88*Exchange_Rate/Dashboard!G3</f>
        <v>1.3525975974585469E-2</v>
      </c>
      <c r="F89" s="98"/>
      <c r="H89" s="232">
        <f>H88*Exchange_Rate/Dashboard!G3</f>
        <v>1.3525975974585469E-2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5.530151032585481</v>
      </c>
      <c r="H93" s="3" t="s">
        <v>182</v>
      </c>
      <c r="I93" s="237">
        <f>FV(H87,D93,0,-(H86/(C93-D94)))*Exchange_Rate</f>
        <v>5.530151032585481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3.8821923644057494</v>
      </c>
      <c r="H94" s="3" t="s">
        <v>183</v>
      </c>
      <c r="I94" s="237">
        <f>FV(H89,D93,0,-(H88/(C93-D94)))*Exchange_Rate</f>
        <v>3.8821923644057494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31845526.45787498</v>
      </c>
      <c r="D97" s="244"/>
      <c r="E97" s="245">
        <f>PV(C94,D93,0,-F93)</f>
        <v>3.1618818015004138</v>
      </c>
      <c r="F97" s="244"/>
      <c r="H97" s="245">
        <f>PV(C94,D93,0,-I93)</f>
        <v>3.1618818015004138</v>
      </c>
      <c r="I97" s="245">
        <f>PV(C93,D93,0,-I93)</f>
        <v>4.1409800229433751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2.6875995312753518</v>
      </c>
      <c r="E100" s="251">
        <f>MAX(E97+H98+E99,0)</f>
        <v>3.1618818015004138</v>
      </c>
      <c r="F100" s="251">
        <f>(E100+H100)/2</f>
        <v>3.1618818015004138</v>
      </c>
      <c r="H100" s="251">
        <f>MAX(H97+H98+H99,0)</f>
        <v>3.1618818015004138</v>
      </c>
      <c r="I100" s="251">
        <f>MAX(I97+H98+H99,0)</f>
        <v>4.1409800229433751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1.8867076717106577</v>
      </c>
      <c r="E103" s="245">
        <f>PV(C94,D93,0,-F94)</f>
        <v>2.2196560843654796</v>
      </c>
      <c r="F103" s="251">
        <f>(E103+H103)/2</f>
        <v>2.2196560843654796</v>
      </c>
      <c r="H103" s="245">
        <f>PV(C94,D93,0,-I94)</f>
        <v>2.2196560843654796</v>
      </c>
      <c r="I103" s="251">
        <f>PV(C93,D93,0,-I94)</f>
        <v>2.9069876991608226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2.2871536014930047</v>
      </c>
      <c r="E106" s="245">
        <f>(E100+E103)/2</f>
        <v>2.6907689429329467</v>
      </c>
      <c r="F106" s="251">
        <f>(F100+F103)/2</f>
        <v>2.6907689429329467</v>
      </c>
      <c r="H106" s="245">
        <f>(H100+H103)/2</f>
        <v>2.6907689429329467</v>
      </c>
      <c r="I106" s="245">
        <f>(I100+I103)/2</f>
        <v>3.5239838610520988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