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C40EFA-1CA7-4F28-89A5-CDBB649BF9DD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<sst xmlns="http://schemas.openxmlformats.org/spreadsheetml/2006/main" count="405" uniqueCount="290">
  <si>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</si>
  <si>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</si>
  <si>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</si>
  <si>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</si>
  <si>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</si>
  <si>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</si>
  <si>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</si>
  <si>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</si>
  <si>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</si>
  <si>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</si>
  <si>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</si>
  <si>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</si>
  <si>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</si>
  <si>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</si>
  <si>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</si>
  <si>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</si>
  <si>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</si>
  <si>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</si>
  <si>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</si>
  <si>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</si>
  <si>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</si>
  <si>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</si>
  <si>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</si>
  <si>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</si>
  <si>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</si>
  <si>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</si>
  <si>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</si>
  <si>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</si>
  <si>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</si>
  <si>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</si>
  <si>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</si>
  <si>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</si>
  <si>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</si>
  <si>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</si>
  <si>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</si>
  <si>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</si>
  <si>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</si>
  <si>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</si>
  <si>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</si>
  <si>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</si>
  <si>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</si>
  <si>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</si>
  <si>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</si>
  <si>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</si>
  <si>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</si>
  <si>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</si>
  <si>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</si>
  <si>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</si>
  <si>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</si>
  <si>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</si>
  <si>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</si>
  <si>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</si>
  <si>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</si>
  <si>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</si>
  <si>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</si>
  <si>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</si>
  <si>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</si>
  <si>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</si>
  <si>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</si>
  <si>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</si>
  <si>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</si>
  <si>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</si>
  <si>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</si>
  <si>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</si>
  <si>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</si>
  <si>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</si>
  <si>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</si>
  <si>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</si>
  <si>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</si>
  <si>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</si>
  <si>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</si>
  <si>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</si>
  <si>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</si>
  <si>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</si>
  <si>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</si>
  <si>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</si>
  <si>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</si>
  <si>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</si>
  <si>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</si>
  <si>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</si>
  <si>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</si>
  <si>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</si>
  <si>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</si>
  <si>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</si>
  <si>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</si>
  <si>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</si>
  <si>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</si>
  <si>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</si>
  <si>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</si>
  <si>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</si>
  <si>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</si>
  <si>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</si>
  <si>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</si>
  <si>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</si>
  <si>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</si>
  <si>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</si>
  <si>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</si>
  <si>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</si>
  <si>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</si>
  <si>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</si>
  <si>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</si>
  <si>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</si>
  <si>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</si>
  <si>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</si>
  <si>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</si>
  <si>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</si>
  <si>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</si>
  <si>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</si>
  <si>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</si>
  <si>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</si>
  <si>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</si>
  <si>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</si>
  <si>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</si>
  <si>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</si>
  <si>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</si>
  <si>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</si>
  <si>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</si>
  <si>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</si>
  <si>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</si>
  <si>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</si>
  <si>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</si>
  <si>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</si>
  <si>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</si>
  <si>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</si>
  <si>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</si>
  <si>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</si>
  <si>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</si>
  <si>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</si>
  <si>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</si>
  <si>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</si>
  <si>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</si>
  <si>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</si>
  <si>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</si>
  <si>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</si>
  <si>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</si>
  <si>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</si>
  <si>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</si>
  <si>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</si>
  <si>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</si>
  <si>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</si>
  <si>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</si>
  <si>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</si>
  <si>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</si>
  <si>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</si>
  <si>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</si>
  <si>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</si>
  <si>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</si>
  <si>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</si>
  <si>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</si>
  <si>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</si>
  <si>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</si>
  <si>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</si>
  <si>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</si>
  <si>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</si>
  <si>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</si>
  <si>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</si>
  <si>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</si>
  <si>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</si>
  <si>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</si>
  <si>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</si>
  <si>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</si>
  <si>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</si>
  <si>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</si>
  <si>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</si>
  <si>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</si>
  <si>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</si>
  <si>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</si>
  <si>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</si>
  <si>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</si>
  <si>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</si>
  <si>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</si>
  <si>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</si>
  <si>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</si>
  <si>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</si>
  <si>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</si>
  <si>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</si>
  <si>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</si>
  <si>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</si>
  <si>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</si>
  <si>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</si>
  <si>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</si>
  <si>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</si>
  <si>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</si>
  <si>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</si>
  <si>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</si>
  <si>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</si>
  <si>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</si>
  <si>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</si>
  <si>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</si>
  <si>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</si>
  <si>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</si>
  <si>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</si>
  <si>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</si>
  <si>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</si>
  <si>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</si>
  <si>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</si>
  <si>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</si>
  <si>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</si>
  <si>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</si>
  <si>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</si>
  <si>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</si>
  <si>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</si>
  <si>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</si>
  <si>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</si>
  <si>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</si>
  <si>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</si>
  <si>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</si>
  <si>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</si>
  <si>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</si>
  <si>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</si>
  <si>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</si>
  <si>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</si>
  <si>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</si>
  <si>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</si>
  <si>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</si>
  <si>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</si>
  <si>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</si>
  <si>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</si>
  <si>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</si>
  <si>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</si>
  <si>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</si>
  <si>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</si>
  <si>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</si>
  <si>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</si>
  <si>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</si>
  <si>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</si>
  <si>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</si>
  <si>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</si>
  <si>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</si>
  <si>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</si>
  <si>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</si>
  <si>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</si>
  <si>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</si>
  <si>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</si>
  <si>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</si>
  <si>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</si>
  <si>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</si>
  <si>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</si>
  <si>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</si>
  <si>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</si>
  <si>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</si>
  <si>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</si>
  <si>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</si>
  <si>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</si>
  <si>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</si>
  <si>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</si>
  <si>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</si>
  <si>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</si>
  <si>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</si>
  <si>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</si>
  <si>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</si>
  <si>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</si>
  <si>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</si>
  <si>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</si>
  <si>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</si>
  <si>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</si>
  <si>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</si>
  <si>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</si>
  <si>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</si>
  <si>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</si>
  <si>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</si>
  <si>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</si>
  <si>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</si>
  <si>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</si>
  <si>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</si>
  <si>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</si>
  <si>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</si>
  <si>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</si>
  <si>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</si>
  <si>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</si>
  <si>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</si>
  <si>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</si>
  <si>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</si>
  <si>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</si>
  <si>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</si>
  <si>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</si>
  <si>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</si>
  <si>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</si>
  <si>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</si>
  <si>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</si>
  <si>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</si>
  <si>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</si>
  <si>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</si>
  <si>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0268.HK</t>
  </si>
  <si>
    <t>金蝶国际</t>
  </si>
  <si>
    <t>C0009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</si>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</sst>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3585854271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5679073</v>
      </c>
      <c r="D25" s="77">
        <v>4865769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2035084</v>
      </c>
      <c r="D26" s="78">
        <v>1868136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2809609</v>
      </c>
      <c r="D27" s="78">
        <v>2530441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1439671</v>
      </c>
      <c r="D28" s="78">
        <v>1295476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21953</v>
      </c>
      <c r="D29" s="78">
        <v>7661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-63246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-59916</v>
      </c>
      <c r="D31" s="78">
        <v>-63246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5679073</v>
      </c>
      <c r="D91" s="98"/>
      <c r="E91" s="99">
        <f>C91</f>
        <v>5679073</v>
      </c>
      <c r="F91" s="99">
        <f>C91</f>
        <v>5679073</v>
      </c>
    </row>
    <row r="92" spans="2:8" x14ac:dyDescent="0.35">
      <c r="B92" s="100" t="s">
        <v>97</v>
      </c>
      <c r="C92" s="97">
        <f>C26</f>
        <v>2035084</v>
      </c>
      <c r="D92" s="101">
        <f>C92/C91</f>
        <v>0.35834792051449244</v>
      </c>
      <c r="E92" s="102">
        <f>E91*D92</f>
        <v>2035084</v>
      </c>
      <c r="F92" s="102">
        <f>F91*D92</f>
        <v>2035084</v>
      </c>
    </row>
    <row r="93" spans="2:8" x14ac:dyDescent="0.35">
      <c r="B93" s="100" t="s">
        <v>216</v>
      </c>
      <c r="C93" s="97">
        <f>C27+C28</f>
        <v>4249280</v>
      </c>
      <c r="D93" s="101">
        <f>C93/C91</f>
        <v>0.74823479113580682</v>
      </c>
      <c r="E93" s="102">
        <f>E91*D93</f>
        <v>4249280</v>
      </c>
      <c r="F93" s="102">
        <f>F91*D93</f>
        <v>4249280</v>
      </c>
    </row>
    <row r="94" spans="2:8" x14ac:dyDescent="0.35">
      <c r="B94" s="100" t="s">
        <v>222</v>
      </c>
      <c r="C94" s="97">
        <f>C29</f>
        <v>21953</v>
      </c>
      <c r="D94" s="101">
        <f>C94/C91</f>
        <v>3.8655956702792868E-3</v>
      </c>
      <c r="E94" s="103"/>
      <c r="F94" s="102">
        <f>F91*D94</f>
        <v>21953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0268.HK : 金蝶国际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0268.HK</v>
      </c>
      <c r="D3" s="317"/>
      <c r="E3" s="3"/>
      <c r="F3" s="9" t="s">
        <v>1</v>
      </c>
      <c r="G3" s="10">
        <v>8.81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金蝶国际</v>
      </c>
      <c r="D4" s="319"/>
      <c r="E4" s="3"/>
      <c r="F4" s="9" t="s">
        <v>2</v>
      </c>
      <c r="G4" s="322">
        <f>Inputs!C10</f>
        <v>3585854271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45603</v>
      </c>
      <c r="D5" s="321"/>
      <c r="E5" s="16"/>
      <c r="F5" s="12" t="s">
        <v>91</v>
      </c>
      <c r="G5" s="314">
        <f>G3*G4/1000000</f>
        <v>31591.376127510001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C0009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-0.10658271165029927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3.8655956702792868E-3</v>
      </c>
      <c r="F24" s="39" t="s">
        <v>224</v>
      </c>
      <c r="G24" s="43">
        <f>G3/(Fin_Analysis!H86*G7)</f>
        <v>-63.126184362489816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-605291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5679073</v>
      </c>
      <c r="D6" s="142">
        <f>IF(Inputs!D25="","",Inputs!D25)</f>
        <v>4865769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0.1671480910828278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2035084</v>
      </c>
      <c r="D8" s="144">
        <f>IF(Inputs!D26="","",Inputs!D26)</f>
        <v>1868136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3643989</v>
      </c>
      <c r="D9" s="273">
        <f t="shared" si="2"/>
        <v>2997633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2809609</v>
      </c>
      <c r="D10" s="144">
        <f>IF(Inputs!D27="","",Inputs!D27)</f>
        <v>2530441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1439671</v>
      </c>
      <c r="D11" s="144">
        <f>IF(Inputs!D28="","",Inputs!D28)</f>
        <v>1295476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-0.10658271165029927</v>
      </c>
      <c r="D13" s="292">
        <f t="shared" si="3"/>
        <v>-0.17022674113793729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-605291</v>
      </c>
      <c r="D14" s="294">
        <f t="shared" ref="D14:M14" si="4">IF(D6="","",D9-D10-MAX(D11,0)-MAX(D12,0))</f>
        <v>-828284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0.26922287524568866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765038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-63246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21953</v>
      </c>
      <c r="D19" s="144">
        <f>IF(Inputs!D29="","",Inputs!D29)</f>
        <v>7661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-627244</v>
      </c>
      <c r="D24" s="309">
        <f t="shared" si="9"/>
        <v>-835945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-8.2836230490433913E-2</v>
      </c>
      <c r="D25" s="143">
        <f t="shared" si="10"/>
        <v>-0.12885090722555881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-470433</v>
      </c>
      <c r="D26" s="276">
        <f>IF(D6="","",D24*(1-Fin_Analysis!$I$84))</f>
        <v>-626958.75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0.24965876941664822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0.35834792051449244</v>
      </c>
      <c r="D42" s="150">
        <f t="shared" si="35"/>
        <v>0.38393437912897221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0.74823479113580682</v>
      </c>
      <c r="D43" s="146">
        <f t="shared" si="36"/>
        <v>0.78629236200896513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3.8655956702792868E-3</v>
      </c>
      <c r="D45" s="146">
        <f t="shared" si="38"/>
        <v>1.5744684961411033E-3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-0.11044830732057855</v>
      </c>
      <c r="D48" s="281">
        <f t="shared" si="41"/>
        <v>-0.17180120963407838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-3.4999139091007644E-2</v>
      </c>
      <c r="D57" s="146">
        <f t="shared" si="48"/>
        <v>-9.1644785243048289E-3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5679073</v>
      </c>
      <c r="D74" s="98"/>
      <c r="E74" s="256">
        <f>Inputs!E91</f>
        <v>5679073</v>
      </c>
      <c r="F74" s="98"/>
      <c r="H74" s="256">
        <f>Inputs!F91</f>
        <v>5679073</v>
      </c>
      <c r="I74" s="98"/>
      <c r="K74" s="75"/>
    </row>
    <row r="75" spans="1:11" ht="15" customHeight="1" x14ac:dyDescent="0.35">
      <c r="B75" s="100" t="s">
        <v>97</v>
      </c>
      <c r="C75" s="97">
        <f>Data!C8</f>
        <v>2035084</v>
      </c>
      <c r="D75" s="101">
        <f>C75/$C$74</f>
        <v>0.35834792051449244</v>
      </c>
      <c r="E75" s="256">
        <f>Inputs!E92</f>
        <v>2035084</v>
      </c>
      <c r="F75" s="211">
        <f>E75/E74</f>
        <v>0.35834792051449244</v>
      </c>
      <c r="H75" s="256">
        <f>Inputs!F92</f>
        <v>2035084</v>
      </c>
      <c r="I75" s="211">
        <f>H75/$H$74</f>
        <v>0.35834792051449244</v>
      </c>
      <c r="K75" s="75"/>
    </row>
    <row r="76" spans="1:11" ht="15" customHeight="1" x14ac:dyDescent="0.35">
      <c r="B76" s="12" t="s">
        <v>87</v>
      </c>
      <c r="C76" s="145">
        <f>C74-C75</f>
        <v>3643989</v>
      </c>
      <c r="D76" s="212"/>
      <c r="E76" s="213">
        <f>E74-E75</f>
        <v>3643989</v>
      </c>
      <c r="F76" s="212"/>
      <c r="H76" s="213">
        <f>H74-H75</f>
        <v>3643989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4249280</v>
      </c>
      <c r="D77" s="101">
        <f>C77/$C$74</f>
        <v>0.74823479113580682</v>
      </c>
      <c r="E77" s="256">
        <f>Inputs!E93</f>
        <v>4249280</v>
      </c>
      <c r="F77" s="211">
        <f>E77/E74</f>
        <v>0.74823479113580682</v>
      </c>
      <c r="H77" s="256">
        <f>Inputs!F93</f>
        <v>4249280</v>
      </c>
      <c r="I77" s="211">
        <f>H77/$H$74</f>
        <v>0.74823479113580682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-605291</v>
      </c>
      <c r="D79" s="217">
        <f>C79/C74</f>
        <v>-0.10658271165029927</v>
      </c>
      <c r="E79" s="218">
        <f>E76-E77-E78</f>
        <v>-605291</v>
      </c>
      <c r="F79" s="217">
        <f>E79/E74</f>
        <v>-0.10658271165029927</v>
      </c>
      <c r="G79" s="219"/>
      <c r="H79" s="218">
        <f>H76-H77-H78</f>
        <v>-605291</v>
      </c>
      <c r="I79" s="217">
        <f>H79/H74</f>
        <v>-0.10658271165029927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21953</v>
      </c>
      <c r="D81" s="101">
        <f>C81/$C$74</f>
        <v>3.8655956702792868E-3</v>
      </c>
      <c r="E81" s="214">
        <f>E74*F81</f>
        <v>21953</v>
      </c>
      <c r="F81" s="211">
        <f>I81</f>
        <v>3.8655956702792868E-3</v>
      </c>
      <c r="H81" s="256">
        <f>Inputs!F94</f>
        <v>21953</v>
      </c>
      <c r="I81" s="211">
        <f>H81/$H$74</f>
        <v>3.8655956702792868E-3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-627244</v>
      </c>
      <c r="D83" s="223">
        <f>C83/$C$74</f>
        <v>-0.11044830732057855</v>
      </c>
      <c r="E83" s="224">
        <f>E79-E81-E82-E80</f>
        <v>-627244</v>
      </c>
      <c r="F83" s="223">
        <f>E83/E74</f>
        <v>-0.11044830732057855</v>
      </c>
      <c r="H83" s="224">
        <f>H79-H81-H82-H80</f>
        <v>-627244</v>
      </c>
      <c r="I83" s="223">
        <f>H83/$H$74</f>
        <v>-0.11044830732057855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-470433</v>
      </c>
      <c r="D85" s="217">
        <f>C85/$C$74</f>
        <v>-8.2836230490433913E-2</v>
      </c>
      <c r="E85" s="229">
        <f>E83*(1-F84)</f>
        <v>-470433</v>
      </c>
      <c r="F85" s="217">
        <f>E85/E74</f>
        <v>-8.2836230490433913E-2</v>
      </c>
      <c r="G85" s="219"/>
      <c r="H85" s="229">
        <f>H83*(1-I84)</f>
        <v>-470433</v>
      </c>
      <c r="I85" s="217">
        <f>H85/$H$74</f>
        <v>-8.2836230490433913E-2</v>
      </c>
      <c r="K85" s="75"/>
    </row>
    <row r="86" spans="1:11" ht="15" customHeight="1" x14ac:dyDescent="0.35">
      <c r="B86" s="3" t="s">
        <v>143</v>
      </c>
      <c r="C86" s="230">
        <f>C85*Data!C4/Common_Shares</f>
        <v>-0.13119133251023296</v>
      </c>
      <c r="D86" s="98"/>
      <c r="E86" s="231">
        <f>E85*Data!C4/Common_Shares</f>
        <v>-0.13119133251023296</v>
      </c>
      <c r="F86" s="98"/>
      <c r="H86" s="231">
        <f>H85*Data!C4/Common_Shares</f>
        <v>-0.13119133251023296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-1.5841286941369603E-2</v>
      </c>
      <c r="D87" s="98"/>
      <c r="E87" s="233">
        <f>E86*Exchange_Rate/Dashboard!G3</f>
        <v>-1.5841286941369603E-2</v>
      </c>
      <c r="F87" s="98"/>
      <c r="H87" s="233">
        <f>H86*Exchange_Rate/Dashboard!G3</f>
        <v>-1.5841286941369603E-2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-2.1821052076432785</v>
      </c>
      <c r="H93" s="3" t="s">
        <v>182</v>
      </c>
      <c r="I93" s="237">
        <f>FV(H87,D93,0,-(H86/(C93-D94)))*Exchange_Rate</f>
        <v>-2.1821052076432785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-4473804.0693673873</v>
      </c>
      <c r="D97" s="244"/>
      <c r="E97" s="245">
        <f>PV(C94,D93,0,-F93)</f>
        <v>-1.2476257346955044</v>
      </c>
      <c r="F97" s="244"/>
      <c r="H97" s="245">
        <f>PV(C94,D93,0,-I93)</f>
        <v>-1.2476257346955044</v>
      </c>
      <c r="I97" s="245">
        <f>PV(C93,D93,0,-I93)</f>
        <v>-1.603912469560413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</v>
      </c>
      <c r="H106" s="245">
        <f>(H100+H103)/2</f>
        <v>0</v>
      </c>
      <c r="I106" s="245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