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0C1E1BA4-1EFC-4843-98FA-50B837A38A4E}" xr6:coauthVersionLast="47" xr6:coauthVersionMax="47" xr10:uidLastSave="{00000000-0000-0000-0000-000000000000}"/>
  <bookViews>
    <workbookView xWindow="1470" yWindow="1470" windowWidth="12690" windowHeight="7643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4" i="4"/>
  <c r="F93" i="4"/>
  <c r="E93" i="4"/>
  <c r="F91" i="4"/>
  <c r="F92" i="4" s="1"/>
  <c r="E91" i="4"/>
  <c r="E92" i="4" s="1"/>
  <c r="D71" i="4"/>
  <c r="D69" i="4"/>
  <c r="D68" i="4"/>
  <c r="D67" i="4"/>
  <c r="D62" i="4"/>
  <c r="D63" i="4" s="1"/>
  <c r="D61" i="4"/>
  <c r="D60" i="4"/>
  <c r="D59" i="4"/>
  <c r="D58" i="4"/>
  <c r="D55" i="4"/>
  <c r="D50" i="4"/>
  <c r="D53" i="4" s="1"/>
  <c r="C44" i="4"/>
  <c r="F95" i="4" l="1"/>
  <c r="F96" i="4"/>
  <c r="E95" i="4"/>
  <c r="F97" i="4"/>
  <c r="D56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<sst xmlns="http://schemas.openxmlformats.org/spreadsheetml/2006/main" count="405" uniqueCount="290">
  <si>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</si>
  <si>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</si>
  <si>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</si>
  <si>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</si>
  <si>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</si>
  <si>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</si>
  <si>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</si>
  <si>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</si>
  <si>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</si>
  <si>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</si>
  <si>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</si>
  <si>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</si>
  <si>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</si>
  <si>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</si>
  <si>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</si>
  <si>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</si>
  <si>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</si>
  <si>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</si>
  <si>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</si>
  <si>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</si>
  <si>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</si>
  <si>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</si>
  <si>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</si>
  <si>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</si>
  <si>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</si>
  <si>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</si>
  <si>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</si>
  <si>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</si>
  <si>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</si>
  <si>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</si>
  <si>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</si>
  <si>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</si>
  <si>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</si>
  <si>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</si>
  <si>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</si>
  <si>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</si>
  <si>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</si>
  <si>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</si>
  <si>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</si>
  <si>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</si>
  <si>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</si>
  <si>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</si>
  <si>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</si>
  <si>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</si>
  <si>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</si>
  <si>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</si>
  <si>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</si>
  <si>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</si>
  <si>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</si>
  <si>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</si>
  <si>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</si>
  <si>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</si>
  <si>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</si>
  <si>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</si>
  <si>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</si>
  <si>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</si>
  <si>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</si>
  <si>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</si>
  <si>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</si>
  <si>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</si>
  <si>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</si>
  <si>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</si>
  <si>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</si>
  <si>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</si>
  <si>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</si>
  <si>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</si>
  <si>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</si>
  <si>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</si>
  <si>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</si>
  <si>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</si>
  <si>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</si>
  <si>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</si>
  <si>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</si>
  <si>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</si>
  <si>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</si>
  <si>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</si>
  <si>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</si>
  <si>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</si>
  <si>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</si>
  <si>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</si>
  <si>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</si>
  <si>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</si>
  <si>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</si>
  <si>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</si>
  <si>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</si>
  <si>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</si>
  <si>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</si>
  <si>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</si>
  <si>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</si>
  <si>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</si>
  <si>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</si>
  <si>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</si>
  <si>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</si>
  <si>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</si>
  <si>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</si>
  <si>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</si>
  <si>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</si>
  <si>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</si>
  <si>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</si>
  <si>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</si>
  <si>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</si>
  <si>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</si>
  <si>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</si>
  <si>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</si>
  <si>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</si>
  <si>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</si>
  <si>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</si>
  <si>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</si>
  <si>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</si>
  <si>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</si>
  <si>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</si>
  <si>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</si>
  <si>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</si>
  <si>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</si>
  <si>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</si>
  <si>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</si>
  <si>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</si>
  <si>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</si>
  <si>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</si>
  <si>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</si>
  <si>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</si>
  <si>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</si>
  <si>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</si>
  <si>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</si>
  <si>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</si>
  <si>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</si>
  <si>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</si>
  <si>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</si>
  <si>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</si>
  <si>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</si>
  <si>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</si>
  <si>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</si>
  <si>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</si>
  <si>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</si>
  <si>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</si>
  <si>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</si>
  <si>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</si>
  <si>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</si>
  <si>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</si>
  <si>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</si>
  <si>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</si>
  <si>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</si>
  <si>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</si>
  <si>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</si>
  <si>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</si>
  <si>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</si>
  <si>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</si>
  <si>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</si>
  <si>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</si>
  <si>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</si>
  <si>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</si>
  <si>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</si>
  <si>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</si>
  <si>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</si>
  <si>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</si>
  <si>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</si>
  <si>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</si>
  <si>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</si>
  <si>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</si>
  <si>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</si>
  <si>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</si>
  <si>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</si>
  <si>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</si>
  <si>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</si>
  <si>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</si>
  <si>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</si>
  <si>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</si>
  <si>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</si>
  <si>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</si>
  <si>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</si>
  <si>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</si>
  <si>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</si>
  <si>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</si>
  <si>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</si>
  <si>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</si>
  <si>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</si>
  <si>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</si>
  <si>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</si>
  <si>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</si>
  <si>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</si>
  <si>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</si>
  <si>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</si>
  <si>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</si>
  <si>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</si>
  <si>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</si>
  <si>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</si>
  <si>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</si>
  <si>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</si>
  <si>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</si>
  <si>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</si>
  <si>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</si>
  <si>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</si>
  <si>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</si>
  <si>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</si>
  <si>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</si>
  <si>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</si>
  <si>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</si>
  <si>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</si>
  <si>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</si>
  <si>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</si>
  <si>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</si>
  <si>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</si>
  <si>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</si>
  <si>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</si>
  <si>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</si>
  <si>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</si>
  <si>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</si>
  <si>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</si>
  <si>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</si>
  <si>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</si>
  <si>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</si>
  <si>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</si>
  <si>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</si>
  <si>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</si>
  <si>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</si>
  <si>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</si>
  <si>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</si>
  <si>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</si>
  <si>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</si>
  <si>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</si>
  <si>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</si>
  <si>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</si>
  <si>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</si>
  <si>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</si>
  <si>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</si>
  <si>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</si>
  <si>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</si>
  <si>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</si>
  <si>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</si>
  <si>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</si>
  <si>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</si>
  <si>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</si>
  <si>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</si>
  <si>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</si>
  <si>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</si>
  <si>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</si>
  <si>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</si>
  <si>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</si>
  <si>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</si>
  <si>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</si>
  <si>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</si>
  <si>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</si>
  <si>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</si>
  <si>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</si>
  <si>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</si>
  <si>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</si>
  <si>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</si>
  <si>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</si>
  <si>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</si>
  <si>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</si>
  <si>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</si>
  <si>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</si>
  <si>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</si>
  <si>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</si>
  <si>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</si>
  <si>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</si>
  <si>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</si>
  <si>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</si>
  <si>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</si>
  <si>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</si>
  <si>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</si>
  <si>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</si>
  <si>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</si>
  <si>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</si>
  <si>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</si>
  <si>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</si>
  <si>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</si>
  <si>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</si>
  <si>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</si>
  <si>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</si>
  <si>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</si>
  <si>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</si>
  <si>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</si>
  <si>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</si>
  <si>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</si>
  <si>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</si>
  <si>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</si>
  <si>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</si>
  <si>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</si>
  <si>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</si>
  <si>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</si>
  <si>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</si>
  <si>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</si>
  <si>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0468.HK</t>
  </si>
  <si>
    <t>紛美包裝</t>
  </si>
  <si>
    <t xml:space="preserve">Superior Cycl. </t>
  </si>
  <si>
    <t>C0007</t>
  </si>
  <si>
    <t>CNY</t>
  </si>
  <si>
    <t>agree</t>
  </si>
  <si>
    <t>Consumer Monopoly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</si>
</sst>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283</v>
      </c>
      <c r="D4" s="66"/>
    </row>
    <row r="5" spans="1:5" x14ac:dyDescent="0.35">
      <c r="B5" s="46" t="s">
        <v>168</v>
      </c>
      <c r="C5" s="67" t="s">
        <v>284</v>
      </c>
    </row>
    <row r="6" spans="1:5" x14ac:dyDescent="0.35">
      <c r="B6" s="46" t="s">
        <v>268</v>
      </c>
      <c r="C6" s="68">
        <v>45605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285</v>
      </c>
    </row>
    <row r="9" spans="1:5" x14ac:dyDescent="0.35">
      <c r="B9" s="39" t="s">
        <v>189</v>
      </c>
      <c r="C9" s="119" t="s">
        <v>286</v>
      </c>
    </row>
    <row r="10" spans="1:5" x14ac:dyDescent="0.35">
      <c r="B10" s="39" t="s">
        <v>190</v>
      </c>
      <c r="C10" s="70">
        <v>1407129000</v>
      </c>
    </row>
    <row r="11" spans="1:5" x14ac:dyDescent="0.35">
      <c r="B11" s="39" t="s">
        <v>191</v>
      </c>
      <c r="C11" s="69" t="s">
        <v>287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282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288</v>
      </c>
      <c r="D17" s="75"/>
    </row>
    <row r="18" spans="2:13" x14ac:dyDescent="0.35">
      <c r="B18" s="56" t="s">
        <v>209</v>
      </c>
      <c r="C18" s="121" t="s">
        <v>214</v>
      </c>
      <c r="D18" s="75"/>
    </row>
    <row r="19" spans="2:13" x14ac:dyDescent="0.35">
      <c r="B19" s="56" t="s">
        <v>210</v>
      </c>
      <c r="C19" s="121" t="s">
        <v>288</v>
      </c>
      <c r="D19" s="75"/>
    </row>
    <row r="20" spans="2:13" x14ac:dyDescent="0.35">
      <c r="B20" s="57" t="s">
        <v>199</v>
      </c>
      <c r="C20" s="121" t="s">
        <v>288</v>
      </c>
      <c r="D20" s="75"/>
    </row>
    <row r="21" spans="2:13" x14ac:dyDescent="0.35">
      <c r="B21" s="2" t="s">
        <v>202</v>
      </c>
      <c r="C21" s="121" t="s">
        <v>214</v>
      </c>
      <c r="D21" s="75"/>
    </row>
    <row r="22" spans="2:13" ht="69.75" x14ac:dyDescent="0.35">
      <c r="B22" s="59" t="s">
        <v>201</v>
      </c>
      <c r="C22" s="122" t="s">
        <v>289</v>
      </c>
      <c r="D22" s="75"/>
    </row>
    <row r="24" spans="2:13" x14ac:dyDescent="0.35">
      <c r="B24" s="76" t="s">
        <v>278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3816679</v>
      </c>
      <c r="D25" s="77">
        <v>3937011</v>
      </c>
      <c r="E25" s="77"/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3135568</v>
      </c>
      <c r="D26" s="78">
        <v>3349048</v>
      </c>
      <c r="E26" s="78"/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420868</v>
      </c>
      <c r="D27" s="78">
        <v>424202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7599</v>
      </c>
      <c r="D29" s="78">
        <v>5443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276</v>
      </c>
      <c r="C30" s="302"/>
      <c r="D30" s="302"/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f>0.06+0.04</f>
        <v>0.1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4.123267585300968E-2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226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225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0.2</v>
      </c>
      <c r="E66" s="261" t="s">
        <v>63</v>
      </c>
    </row>
    <row r="67" spans="2:5" x14ac:dyDescent="0.35">
      <c r="B67" s="2" t="s">
        <v>41</v>
      </c>
      <c r="C67" s="86"/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277</v>
      </c>
      <c r="C82" s="79"/>
    </row>
    <row r="83" spans="2:8" hidden="1" x14ac:dyDescent="0.35">
      <c r="B83" s="300" t="s">
        <v>246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274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3816679</v>
      </c>
      <c r="D91" s="98"/>
      <c r="E91" s="99">
        <f>C91</f>
        <v>3816679</v>
      </c>
      <c r="F91" s="99">
        <f>C91</f>
        <v>3816679</v>
      </c>
    </row>
    <row r="92" spans="2:8" x14ac:dyDescent="0.35">
      <c r="B92" s="100" t="s">
        <v>97</v>
      </c>
      <c r="C92" s="97">
        <f>C26</f>
        <v>3135568</v>
      </c>
      <c r="D92" s="101">
        <f>C92/C91</f>
        <v>0.82154354610382485</v>
      </c>
      <c r="E92" s="102">
        <f>E91*D92</f>
        <v>3135568</v>
      </c>
      <c r="F92" s="102">
        <f>F91*D92</f>
        <v>3135568</v>
      </c>
    </row>
    <row r="93" spans="2:8" x14ac:dyDescent="0.35">
      <c r="B93" s="100" t="s">
        <v>216</v>
      </c>
      <c r="C93" s="97">
        <f>C27+C28</f>
        <v>420868</v>
      </c>
      <c r="D93" s="101">
        <f>C93/C91</f>
        <v>0.1102707353696761</v>
      </c>
      <c r="E93" s="102">
        <f>E91*D93</f>
        <v>420868</v>
      </c>
      <c r="F93" s="102">
        <f>F91*D93</f>
        <v>420868</v>
      </c>
    </row>
    <row r="94" spans="2:8" x14ac:dyDescent="0.35">
      <c r="B94" s="100" t="s">
        <v>222</v>
      </c>
      <c r="C94" s="97">
        <f>C29</f>
        <v>7599</v>
      </c>
      <c r="D94" s="101">
        <f>C94/C91</f>
        <v>1.9909979330197799E-3</v>
      </c>
      <c r="E94" s="103"/>
      <c r="F94" s="102">
        <f>F91*D94</f>
        <v>7599.0000000000009</v>
      </c>
    </row>
    <row r="95" spans="2:8" x14ac:dyDescent="0.35">
      <c r="B95" s="18" t="s">
        <v>215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0</v>
      </c>
      <c r="D97" s="101">
        <f>C97/C91</f>
        <v>0</v>
      </c>
      <c r="E97" s="103"/>
      <c r="F97" s="102">
        <f>F91*D97</f>
        <v>0</v>
      </c>
    </row>
    <row r="98" spans="2:6" x14ac:dyDescent="0.35">
      <c r="B98" s="8" t="s">
        <v>180</v>
      </c>
      <c r="C98" s="104">
        <f>C44</f>
        <v>0.1</v>
      </c>
      <c r="D98" s="105"/>
      <c r="E98" s="106">
        <f>F98</f>
        <v>0.06</v>
      </c>
      <c r="F98" s="106">
        <v>0.06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0468.HK : 紛美包裝</v>
      </c>
      <c r="D2" s="3"/>
      <c r="E2" s="7"/>
      <c r="F2" s="7"/>
      <c r="G2" s="318" t="str">
        <f>IF(Inputs!D4="","",Inputs!D4)</f>
        <v/>
      </c>
      <c r="H2" s="318"/>
    </row>
    <row r="3" spans="1:10" ht="15.75" customHeight="1" x14ac:dyDescent="0.35">
      <c r="B3" s="9" t="s">
        <v>167</v>
      </c>
      <c r="C3" s="316" t="str">
        <f>Inputs!C4</f>
        <v>0468.HK</v>
      </c>
      <c r="D3" s="317"/>
      <c r="E3" s="3"/>
      <c r="F3" s="9" t="s">
        <v>1</v>
      </c>
      <c r="G3" s="10">
        <v>2.58</v>
      </c>
      <c r="H3" s="11" t="s">
        <v>256</v>
      </c>
    </row>
    <row r="4" spans="1:10" ht="15.75" customHeight="1" x14ac:dyDescent="0.35">
      <c r="B4" s="12" t="s">
        <v>168</v>
      </c>
      <c r="C4" s="318" t="str">
        <f>Inputs!C5</f>
        <v>紛美包裝</v>
      </c>
      <c r="D4" s="319"/>
      <c r="E4" s="3"/>
      <c r="F4" s="9" t="s">
        <v>2</v>
      </c>
      <c r="G4" s="322">
        <f>Inputs!C10</f>
        <v>1407129000</v>
      </c>
      <c r="H4" s="322"/>
      <c r="I4" s="14"/>
    </row>
    <row r="5" spans="1:10" ht="15.75" customHeight="1" x14ac:dyDescent="0.35">
      <c r="B5" s="9" t="s">
        <v>145</v>
      </c>
      <c r="C5" s="320">
        <f>Inputs!C6</f>
        <v>45605</v>
      </c>
      <c r="D5" s="321"/>
      <c r="E5" s="16"/>
      <c r="F5" s="12" t="s">
        <v>91</v>
      </c>
      <c r="G5" s="314">
        <f>G3*G4/1000000</f>
        <v>3630.39282</v>
      </c>
      <c r="H5" s="314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CNY</v>
      </c>
      <c r="H6" s="315"/>
      <c r="I6" s="17"/>
    </row>
    <row r="7" spans="1:10" ht="15.75" customHeight="1" x14ac:dyDescent="0.35">
      <c r="B7" s="8" t="s">
        <v>165</v>
      </c>
      <c r="C7" s="123" t="str">
        <f>Inputs!C8</f>
        <v xml:space="preserve">Superior Cycl. </v>
      </c>
      <c r="D7" s="123" t="str">
        <f>Inputs!C9</f>
        <v>C0007</v>
      </c>
      <c r="E7" s="3"/>
      <c r="F7" s="12" t="s">
        <v>5</v>
      </c>
      <c r="G7" s="21">
        <v>1.0638030370076497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 t="e">
        <f>C21*C22*C23</f>
        <v>#DIV/0!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6.8185718526499087E-2</v>
      </c>
      <c r="F21" s="3"/>
      <c r="G21" s="34"/>
    </row>
    <row r="22" spans="1:8" ht="15.75" customHeight="1" x14ac:dyDescent="0.35">
      <c r="B22" s="35" t="s">
        <v>244</v>
      </c>
      <c r="C22" s="36" t="e">
        <f>Data!C50</f>
        <v>#DIV/0!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 t="e">
        <f>1/Data!C55</f>
        <v>#DIV/0!</v>
      </c>
      <c r="F23" s="39" t="s">
        <v>163</v>
      </c>
      <c r="G23" s="40" t="e">
        <f>G3/(Data!C36*Data!C4/Common_Shares*Exchange_Rate)</f>
        <v>#DIV/0!</v>
      </c>
    </row>
    <row r="24" spans="1:8" ht="15.75" customHeight="1" x14ac:dyDescent="0.35">
      <c r="B24" s="41" t="s">
        <v>239</v>
      </c>
      <c r="C24" s="42">
        <f>Fin_Analysis!I81</f>
        <v>1.9909979330197799E-3</v>
      </c>
      <c r="F24" s="39" t="s">
        <v>224</v>
      </c>
      <c r="G24" s="43">
        <f>G3/(Fin_Analysis!H86*G7)</f>
        <v>18.01034954448577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0.44556894286030935</v>
      </c>
    </row>
    <row r="26" spans="1:8" ht="15.75" customHeight="1" x14ac:dyDescent="0.35">
      <c r="B26" s="45" t="s">
        <v>241</v>
      </c>
      <c r="C26" s="44">
        <f>Fin_Analysis!I80+Fin_Analysis!I82</f>
        <v>0</v>
      </c>
      <c r="F26" s="46" t="s">
        <v>166</v>
      </c>
      <c r="G26" s="47">
        <f>Fin_Analysis!H88*Exchange_Rate/G3</f>
        <v>2.4739605511805807E-2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2" t="s">
        <v>223</v>
      </c>
      <c r="H28" s="312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1.4402759898574495</v>
      </c>
      <c r="D29" s="54">
        <f>G29*(1+G20)</f>
        <v>2.5050763964981395</v>
      </c>
      <c r="E29" s="3"/>
      <c r="F29" s="55">
        <f>IF(Fin_Analysis!C108="Profit",Fin_Analysis!F100,IF(Fin_Analysis!C108="Dividend",Fin_Analysis!F103,Fin_Analysis!F106))</f>
        <v>1.6944423410087641</v>
      </c>
      <c r="G29" s="313">
        <f>IF(Fin_Analysis!C108="Profit",Fin_Analysis!I100,IF(Fin_Analysis!C108="Dividend",Fin_Analysis!I103,Fin_Analysis!I106))</f>
        <v>2.1783273013027302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agree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unclear</v>
      </c>
    </row>
    <row r="37" spans="1:4" ht="15.75" customHeight="1" x14ac:dyDescent="0.35">
      <c r="B37" s="56" t="s">
        <v>210</v>
      </c>
      <c r="C37" s="112" t="str">
        <f>Inputs!C19</f>
        <v>agree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agree</v>
      </c>
    </row>
    <row r="40" spans="1:4" ht="15.75" customHeight="1" x14ac:dyDescent="0.35">
      <c r="B40" s="2" t="s">
        <v>202</v>
      </c>
      <c r="C40" s="112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:H2"/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260243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3816679</v>
      </c>
      <c r="D6" s="142">
        <f>IF(Inputs!D25="","",Inputs!D25)</f>
        <v>3937011</v>
      </c>
      <c r="E6" s="142" t="str">
        <f>IF(Inputs!E25="","",Inputs!E25)</f>
        <v/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-3.0564303731942855E-2</v>
      </c>
      <c r="D7" s="143" t="str">
        <f t="shared" si="1"/>
        <v/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3135568</v>
      </c>
      <c r="D8" s="144">
        <f>IF(Inputs!D26="","",Inputs!D26)</f>
        <v>3349048</v>
      </c>
      <c r="E8" s="144" t="str">
        <f>IF(Inputs!E26="","",Inputs!E26)</f>
        <v/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681111</v>
      </c>
      <c r="D9" s="273">
        <f t="shared" si="2"/>
        <v>587963</v>
      </c>
      <c r="E9" s="273" t="str">
        <f t="shared" si="2"/>
        <v/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420868</v>
      </c>
      <c r="D10" s="144">
        <f>IF(Inputs!D27="","",Inputs!D27)</f>
        <v>424202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 t="str">
        <f>IF(Inputs!C31="","",MAX(Inputs!C31,0)/(1-Fin_Analysis!$I$84))</f>
        <v/>
      </c>
      <c r="D12" s="144" t="str">
        <f>IF(Inputs!D31="","",MAX(Inputs!D31,0)/(1-Fin_Analysis!$I$84))</f>
        <v/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6.8185718526499087E-2</v>
      </c>
      <c r="D13" s="292">
        <f t="shared" si="3"/>
        <v>4.1595260973362788E-2</v>
      </c>
      <c r="E13" s="292" t="str">
        <f t="shared" si="3"/>
        <v/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260243</v>
      </c>
      <c r="D14" s="294">
        <f t="shared" ref="D14:M14" si="4">IF(D6="","",D9-D10-MAX(D11,0)-MAX(D12,0))</f>
        <v>163761</v>
      </c>
      <c r="E14" s="294" t="str">
        <f t="shared" si="4"/>
        <v/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0.58916347604130415</v>
      </c>
      <c r="D15" s="296" t="str">
        <f t="shared" ref="D15:M15" si="5">IF(E14="","",IF(ABS(D14+E14)=ABS(D14)+ABS(E14),IF(D14&lt;0,-1,1)*(D14-E14)/E14,"Turn"))</f>
        <v/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279</v>
      </c>
      <c r="C16" s="147" t="str">
        <f>IF(C17="","",C17-C14)</f>
        <v/>
      </c>
      <c r="D16" s="147" t="str">
        <f t="shared" ref="D16:M16" si="6">IF(D17="","",D17-D14)</f>
        <v/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276</v>
      </c>
      <c r="C17" s="307" t="str">
        <f>IF(Inputs!C30="","",Inputs!C30)</f>
        <v/>
      </c>
      <c r="D17" s="307" t="str">
        <f>IF(Inputs!D30="","",Inputs!D30)</f>
        <v/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7599</v>
      </c>
      <c r="D19" s="144">
        <f>IF(Inputs!D29="","",Inputs!D29)</f>
        <v>5443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</v>
      </c>
      <c r="D22" s="227">
        <f t="shared" si="8"/>
        <v>0</v>
      </c>
      <c r="E22" s="227" t="str">
        <f t="shared" si="8"/>
        <v/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280</v>
      </c>
      <c r="C24" s="309">
        <f t="shared" ref="C24:M24" si="9">IF(C6="","",C14-MAX(C18,0)-MAX(C19,0)-ABS(MAX(C23,0)-MAX(C21,0)))</f>
        <v>252644</v>
      </c>
      <c r="D24" s="309">
        <f t="shared" si="9"/>
        <v>158318</v>
      </c>
      <c r="E24" s="309" t="str">
        <f t="shared" si="9"/>
        <v/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4.9646040445109479E-2</v>
      </c>
      <c r="D25" s="143">
        <f t="shared" si="10"/>
        <v>3.0159555053313289E-2</v>
      </c>
      <c r="E25" s="143" t="str">
        <f t="shared" si="10"/>
        <v/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281</v>
      </c>
      <c r="C26" s="275">
        <f>IF(C6="","",C24*(1-Fin_Analysis!$I$84))</f>
        <v>189483</v>
      </c>
      <c r="D26" s="276">
        <f>IF(D6="","",D24*(1-Fin_Analysis!$I$84))</f>
        <v>118738.5</v>
      </c>
      <c r="E26" s="276" t="str">
        <f>IF(E6="","",E24*(1-Fin_Analysis!$I$84))</f>
        <v/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0.59580085650399828</v>
      </c>
      <c r="D27" s="305" t="str">
        <f t="shared" si="11"/>
        <v/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0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0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0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0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 t="e">
        <f>IF(C6="","",C14/MAX(C39,0))</f>
        <v>#DIV/0!</v>
      </c>
      <c r="D40" s="148" t="e">
        <f>IF(D6="","",D14/MAX(D39,0))</f>
        <v>#DIV/0!</v>
      </c>
      <c r="E40" s="148" t="str">
        <f>IF(E6="","",E14/MAX(E39,0))</f>
        <v/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0.82154354610382485</v>
      </c>
      <c r="D42" s="150">
        <f t="shared" si="35"/>
        <v>0.85065751657793187</v>
      </c>
      <c r="E42" s="150" t="str">
        <f t="shared" si="35"/>
        <v/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0.1102707353696761</v>
      </c>
      <c r="D43" s="146">
        <f t="shared" si="36"/>
        <v>0.10774722244870538</v>
      </c>
      <c r="E43" s="146" t="str">
        <f t="shared" si="36"/>
        <v/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 t="str">
        <f t="shared" si="37"/>
        <v/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1.9909979330197799E-3</v>
      </c>
      <c r="D45" s="146">
        <f t="shared" si="38"/>
        <v>1.3825209022784036E-3</v>
      </c>
      <c r="E45" s="146" t="str">
        <f t="shared" si="38"/>
        <v/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0</v>
      </c>
      <c r="D46" s="146">
        <f t="shared" si="39"/>
        <v>0</v>
      </c>
      <c r="E46" s="146" t="str">
        <f t="shared" si="39"/>
        <v/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 t="str">
        <f t="shared" si="40"/>
        <v/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6.6194720593479306E-2</v>
      </c>
      <c r="D48" s="281">
        <f t="shared" si="41"/>
        <v>4.0212740071084385E-2</v>
      </c>
      <c r="E48" s="281" t="str">
        <f t="shared" si="41"/>
        <v/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 t="e">
        <f t="shared" ref="C50:M50" si="42">IF(C6="","",C6/C29)</f>
        <v>#DIV/0!</v>
      </c>
      <c r="D50" s="153" t="e">
        <f t="shared" si="42"/>
        <v>#VALUE!</v>
      </c>
      <c r="E50" s="153" t="str">
        <f t="shared" si="42"/>
        <v/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 t="e">
        <f t="shared" ref="C53:M53" si="45">IF(D6="","",C18/(C6-D6))</f>
        <v>#VALUE!</v>
      </c>
      <c r="D53" s="146" t="str">
        <f t="shared" si="45"/>
        <v/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 t="e">
        <f t="shared" ref="C55:M55" si="46">IF(C36="","",(C36-C37)/C29)</f>
        <v>#DIV/0!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3.0077896170104972E-2</v>
      </c>
      <c r="D57" s="146">
        <f t="shared" si="48"/>
        <v>3.4380171553455706E-2</v>
      </c>
      <c r="E57" s="146" t="str">
        <f t="shared" si="48"/>
        <v/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 t="e">
        <f t="shared" ref="C60:M60" si="50">IF(C14="","",C14/(C36-C37))</f>
        <v>#DIV/0!</v>
      </c>
      <c r="D60" s="156" t="e">
        <f t="shared" si="50"/>
        <v>#VALUE!</v>
      </c>
      <c r="E60" s="156" t="str">
        <f t="shared" si="50"/>
        <v/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 t="e">
        <f t="shared" ref="C61:M61" si="51">IF(C24="","",C24/(C36-C37))</f>
        <v>#DIV/0!</v>
      </c>
      <c r="D61" s="156" t="e">
        <f t="shared" si="51"/>
        <v>#VALUE!</v>
      </c>
      <c r="E61" s="156" t="str">
        <f t="shared" si="51"/>
        <v/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0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0</v>
      </c>
      <c r="K3" s="75"/>
    </row>
    <row r="4" spans="1:11" ht="15" customHeight="1" x14ac:dyDescent="0.35">
      <c r="B4" s="9" t="s">
        <v>21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0</v>
      </c>
      <c r="E6" s="170" t="e">
        <f>1-D6/D3</f>
        <v>#DIV/0!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 t="e">
        <f>(E44+E45+E24+E25)/$I$49</f>
        <v>#DIV/0!</v>
      </c>
      <c r="J47" s="187" t="e">
        <f>IF(OR(I47&lt;0.5,C49&lt;I49),"Liquidity Issue!","")</f>
        <v>#DIV/0!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0</v>
      </c>
      <c r="J48" s="187"/>
    </row>
    <row r="49" spans="2:11" ht="15" customHeight="1" thickTop="1" x14ac:dyDescent="0.35">
      <c r="B49" s="9" t="s">
        <v>13</v>
      </c>
      <c r="C49" s="184">
        <f>Inputs!C41+Inputs!C37</f>
        <v>0</v>
      </c>
      <c r="D49" s="170" t="e">
        <f>E49/C49</f>
        <v>#DIV/0!</v>
      </c>
      <c r="E49" s="176">
        <f>E28+E48</f>
        <v>0</v>
      </c>
      <c r="F49" s="3"/>
      <c r="G49" s="3"/>
      <c r="H49" s="9" t="s">
        <v>78</v>
      </c>
      <c r="I49" s="175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21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22">
        <f>Inputs!C84</f>
        <v>0</v>
      </c>
      <c r="E57" s="321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253</v>
      </c>
      <c r="I61" s="203">
        <f>C99*Data!$C$4/Common_Shares</f>
        <v>0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275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254</v>
      </c>
      <c r="I63" s="207">
        <f>IF(I61&gt;0,FV(I62,D93,0,-I61),I61)</f>
        <v>0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255</v>
      </c>
      <c r="I64" s="207">
        <f>IF(I61&gt;0,PV(C94,D93,0,-I63),I61)</f>
        <v>0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0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0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0</v>
      </c>
      <c r="D70" s="34">
        <f t="shared" si="2"/>
        <v>0</v>
      </c>
      <c r="E70" s="202">
        <f>E68-E69</f>
        <v>0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3816679</v>
      </c>
      <c r="D74" s="98"/>
      <c r="E74" s="256">
        <f>Inputs!E91</f>
        <v>3816679</v>
      </c>
      <c r="F74" s="98"/>
      <c r="H74" s="256">
        <f>Inputs!F91</f>
        <v>3816679</v>
      </c>
      <c r="I74" s="98"/>
      <c r="K74" s="75"/>
    </row>
    <row r="75" spans="1:11" ht="15" customHeight="1" x14ac:dyDescent="0.35">
      <c r="B75" s="100" t="s">
        <v>97</v>
      </c>
      <c r="C75" s="97">
        <f>Data!C8</f>
        <v>3135568</v>
      </c>
      <c r="D75" s="101">
        <f>C75/$C$74</f>
        <v>0.82154354610382485</v>
      </c>
      <c r="E75" s="256">
        <f>Inputs!E92</f>
        <v>3135568</v>
      </c>
      <c r="F75" s="211">
        <f>E75/E74</f>
        <v>0.82154354610382485</v>
      </c>
      <c r="H75" s="256">
        <f>Inputs!F92</f>
        <v>3135568</v>
      </c>
      <c r="I75" s="211">
        <f>H75/$H$74</f>
        <v>0.82154354610382485</v>
      </c>
      <c r="K75" s="75"/>
    </row>
    <row r="76" spans="1:11" ht="15" customHeight="1" x14ac:dyDescent="0.35">
      <c r="B76" s="12" t="s">
        <v>87</v>
      </c>
      <c r="C76" s="145">
        <f>C74-C75</f>
        <v>681111</v>
      </c>
      <c r="D76" s="212"/>
      <c r="E76" s="213">
        <f>E74-E75</f>
        <v>681111</v>
      </c>
      <c r="F76" s="212"/>
      <c r="H76" s="213">
        <f>H74-H75</f>
        <v>681111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420868</v>
      </c>
      <c r="D77" s="101">
        <f>C77/$C$74</f>
        <v>0.1102707353696761</v>
      </c>
      <c r="E77" s="256">
        <f>Inputs!E93</f>
        <v>420868</v>
      </c>
      <c r="F77" s="211">
        <f>E77/E74</f>
        <v>0.1102707353696761</v>
      </c>
      <c r="H77" s="256">
        <f>Inputs!F93</f>
        <v>420868</v>
      </c>
      <c r="I77" s="211">
        <f>H77/$H$74</f>
        <v>0.1102707353696761</v>
      </c>
      <c r="K77" s="75"/>
    </row>
    <row r="78" spans="1:11" ht="15" customHeight="1" x14ac:dyDescent="0.35">
      <c r="B78" s="93" t="s">
        <v>150</v>
      </c>
      <c r="C78" s="97">
        <f>MAX(Data!C12,0)</f>
        <v>0</v>
      </c>
      <c r="D78" s="101">
        <f>C78/$C$74</f>
        <v>0</v>
      </c>
      <c r="E78" s="214">
        <f>E74*F78</f>
        <v>0</v>
      </c>
      <c r="F78" s="211">
        <f>I78</f>
        <v>0</v>
      </c>
      <c r="H78" s="256">
        <f>Inputs!F97</f>
        <v>0</v>
      </c>
      <c r="I78" s="211">
        <f>H78/$H$74</f>
        <v>0</v>
      </c>
      <c r="K78" s="75"/>
    </row>
    <row r="79" spans="1:11" ht="15" customHeight="1" x14ac:dyDescent="0.35">
      <c r="B79" s="215" t="s">
        <v>203</v>
      </c>
      <c r="C79" s="216">
        <f>C76-C77-C78</f>
        <v>260243</v>
      </c>
      <c r="D79" s="217">
        <f>C79/C74</f>
        <v>6.8185718526499087E-2</v>
      </c>
      <c r="E79" s="218">
        <f>E76-E77-E78</f>
        <v>260243</v>
      </c>
      <c r="F79" s="217">
        <f>E79/E74</f>
        <v>6.8185718526499087E-2</v>
      </c>
      <c r="G79" s="219"/>
      <c r="H79" s="218">
        <f>H76-H77-H78</f>
        <v>260243</v>
      </c>
      <c r="I79" s="217">
        <f>H79/H74</f>
        <v>6.8185718526499087E-2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7599</v>
      </c>
      <c r="D81" s="101">
        <f>C81/$C$74</f>
        <v>1.9909979330197799E-3</v>
      </c>
      <c r="E81" s="214">
        <f>E74*F81</f>
        <v>7599.0000000000009</v>
      </c>
      <c r="F81" s="211">
        <f>I81</f>
        <v>1.9909979330197799E-3</v>
      </c>
      <c r="H81" s="256">
        <f>Inputs!F94</f>
        <v>7599.0000000000009</v>
      </c>
      <c r="I81" s="211">
        <f>H81/$H$74</f>
        <v>1.9909979330197799E-3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252644</v>
      </c>
      <c r="D83" s="223">
        <f>C83/$C$74</f>
        <v>6.6194720593479306E-2</v>
      </c>
      <c r="E83" s="224">
        <f>E79-E81-E82-E80</f>
        <v>252644</v>
      </c>
      <c r="F83" s="223">
        <f>E83/E74</f>
        <v>6.6194720593479306E-2</v>
      </c>
      <c r="H83" s="224">
        <f>H79-H81-H82-H80</f>
        <v>252644</v>
      </c>
      <c r="I83" s="223">
        <f>H83/$H$74</f>
        <v>6.6194720593479306E-2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189483</v>
      </c>
      <c r="D85" s="217">
        <f>C85/$C$74</f>
        <v>4.9646040445109479E-2</v>
      </c>
      <c r="E85" s="229">
        <f>E83*(1-F84)</f>
        <v>189483</v>
      </c>
      <c r="F85" s="217">
        <f>E85/E74</f>
        <v>4.9646040445109479E-2</v>
      </c>
      <c r="G85" s="219"/>
      <c r="H85" s="229">
        <f>H83*(1-I84)</f>
        <v>189483</v>
      </c>
      <c r="I85" s="217">
        <f>H85/$H$74</f>
        <v>4.9646040445109479E-2</v>
      </c>
      <c r="K85" s="75"/>
    </row>
    <row r="86" spans="1:11" ht="15" customHeight="1" x14ac:dyDescent="0.35">
      <c r="B86" s="3" t="s">
        <v>143</v>
      </c>
      <c r="C86" s="230">
        <f>C85*Data!C4/Common_Shares</f>
        <v>0.13465929562961179</v>
      </c>
      <c r="D86" s="98"/>
      <c r="E86" s="231">
        <f>E85*Data!C4/Common_Shares</f>
        <v>0.13465929562961179</v>
      </c>
      <c r="F86" s="98"/>
      <c r="H86" s="231">
        <f>H85*Data!C4/Common_Shares</f>
        <v>0.13465929562961179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5.5523630872903851E-2</v>
      </c>
      <c r="D87" s="98"/>
      <c r="E87" s="233">
        <f>E86*Exchange_Rate/Dashboard!G3</f>
        <v>5.5523630872903851E-2</v>
      </c>
      <c r="F87" s="98"/>
      <c r="H87" s="233">
        <f>H86*Exchange_Rate/Dashboard!G3</f>
        <v>5.5523630872903851E-2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0.1</v>
      </c>
      <c r="D88" s="235">
        <f>C88/C86</f>
        <v>0.74261490476718228</v>
      </c>
      <c r="E88" s="255">
        <f>Inputs!E98</f>
        <v>0.06</v>
      </c>
      <c r="F88" s="235">
        <f>E88/E86</f>
        <v>0.44556894286030935</v>
      </c>
      <c r="H88" s="255">
        <f>Inputs!F98</f>
        <v>0.06</v>
      </c>
      <c r="I88" s="235">
        <f>H88/H86</f>
        <v>0.44556894286030935</v>
      </c>
      <c r="K88" s="75"/>
    </row>
    <row r="89" spans="1:11" ht="15" customHeight="1" x14ac:dyDescent="0.35">
      <c r="B89" s="3" t="s">
        <v>193</v>
      </c>
      <c r="C89" s="232">
        <f>C88*Exchange_Rate/Dashboard!G3</f>
        <v>4.123267585300968E-2</v>
      </c>
      <c r="D89" s="98"/>
      <c r="E89" s="232">
        <f>E88*Exchange_Rate/Dashboard!G3</f>
        <v>2.4739605511805807E-2</v>
      </c>
      <c r="F89" s="98"/>
      <c r="H89" s="232">
        <f>H88*Exchange_Rate/Dashboard!G3</f>
        <v>2.4739605511805807E-2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CN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2.9635902446889588</v>
      </c>
      <c r="H93" s="3" t="s">
        <v>182</v>
      </c>
      <c r="I93" s="237">
        <f>FV(H87,D93,0,-(H86/(C93-D94)))*Exchange_Rate</f>
        <v>2.9635902446889588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1.1730467287568007</v>
      </c>
      <c r="H94" s="3" t="s">
        <v>183</v>
      </c>
      <c r="I94" s="237">
        <f>FV(H89,D93,0,-(H88/(C93-D94)))*Exchange_Rate</f>
        <v>1.1730467287568007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2384298.9568613213</v>
      </c>
      <c r="D97" s="244"/>
      <c r="E97" s="245">
        <f>PV(C94,D93,0,-F93)</f>
        <v>1.6944423410087641</v>
      </c>
      <c r="F97" s="244"/>
      <c r="H97" s="245">
        <f>PV(C94,D93,0,-I93)</f>
        <v>1.6944423410087641</v>
      </c>
      <c r="I97" s="245">
        <f>PV(C93,D93,0,-I93)</f>
        <v>2.1783273013027302</v>
      </c>
      <c r="K97" s="75"/>
    </row>
    <row r="98" spans="2:11" ht="15" customHeight="1" x14ac:dyDescent="0.35">
      <c r="B98" s="18" t="s">
        <v>132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0</v>
      </c>
      <c r="D99" s="248"/>
      <c r="E99" s="249">
        <f>IF(H99&gt;0,I64,H99)</f>
        <v>0</v>
      </c>
      <c r="F99" s="248"/>
      <c r="H99" s="249">
        <f>I64</f>
        <v>0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1.4402759898574495</v>
      </c>
      <c r="E100" s="251">
        <f>MAX(E97+H98+E99,0)</f>
        <v>1.6944423410087641</v>
      </c>
      <c r="F100" s="251">
        <f>(E100+H100)/2</f>
        <v>1.6944423410087641</v>
      </c>
      <c r="H100" s="251">
        <f>MAX(H97+H98+H99,0)</f>
        <v>1.6944423410087641</v>
      </c>
      <c r="I100" s="251">
        <f>MAX(I97+H98+H99,0)</f>
        <v>2.1783273013027302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0.57008928323914276</v>
      </c>
      <c r="E103" s="245">
        <f>PV(C94,D93,0,-F94)</f>
        <v>0.67069327439899151</v>
      </c>
      <c r="F103" s="251">
        <f>(E103+H103)/2</f>
        <v>0.67069327439899151</v>
      </c>
      <c r="H103" s="245">
        <f>PV(C94,D93,0,-I94)</f>
        <v>0.67069327439899151</v>
      </c>
      <c r="I103" s="251">
        <f>PV(C93,D93,0,-I94)</f>
        <v>0.86222436436147221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1.0051826365482961</v>
      </c>
      <c r="E106" s="245">
        <f>(E100+E103)/2</f>
        <v>1.1825678077038777</v>
      </c>
      <c r="F106" s="251">
        <f>(F100+F103)/2</f>
        <v>1.1825678077038777</v>
      </c>
      <c r="H106" s="245">
        <f>(H100+H103)/2</f>
        <v>1.1825678077038777</v>
      </c>
      <c r="I106" s="245">
        <f>(I100+I103)/2</f>
        <v>1.5202758328321013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45605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2024-12-27T10:14:54Z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