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0355B85-A878-400B-BD3E-6EF21E84D73E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E92" i="4" l="1"/>
  <c r="F92" i="4"/>
  <c r="F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<sst xmlns="http://schemas.openxmlformats.org/spreadsheetml/2006/main" count="405" uniqueCount="290">
  <si>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</si>
  <si>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</si>
  <si>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</si>
  <si>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</si>
  <si>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</si>
  <si>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</si>
  <si>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</si>
  <si>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</si>
  <si>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</si>
  <si>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</si>
  <si>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</si>
  <si>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</si>
  <si>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</si>
  <si>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</si>
  <si>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</si>
  <si>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</si>
  <si>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</si>
  <si>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</si>
  <si>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</si>
  <si>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</si>
  <si>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</si>
  <si>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</si>
  <si>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</si>
  <si>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</si>
  <si>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</si>
  <si>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</si>
  <si>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</si>
  <si>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</si>
  <si>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</si>
  <si>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</si>
  <si>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</si>
  <si>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</si>
  <si>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</si>
  <si>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</si>
  <si>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</si>
  <si>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</si>
  <si>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</si>
  <si>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</si>
  <si>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</si>
  <si>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</si>
  <si>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</si>
  <si>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</si>
  <si>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</si>
  <si>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</si>
  <si>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</si>
  <si>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</si>
  <si>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</si>
  <si>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</si>
  <si>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</si>
  <si>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</si>
  <si>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</si>
  <si>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</si>
  <si>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</si>
  <si>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</si>
  <si>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</si>
  <si>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</si>
  <si>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</si>
  <si>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</si>
  <si>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</si>
  <si>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</si>
  <si>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</si>
  <si>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</si>
  <si>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</si>
  <si>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</si>
  <si>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</si>
  <si>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</si>
  <si>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</si>
  <si>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</si>
  <si>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</si>
  <si>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</si>
  <si>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</si>
  <si>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</si>
  <si>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</si>
  <si>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</si>
  <si>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</si>
  <si>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</si>
  <si>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</si>
  <si>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</si>
  <si>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</si>
  <si>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</si>
  <si>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</si>
  <si>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</si>
  <si>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</si>
  <si>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</si>
  <si>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</si>
  <si>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</si>
  <si>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</si>
  <si>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</si>
  <si>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</si>
  <si>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</si>
  <si>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</si>
  <si>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</si>
  <si>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</si>
  <si>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</si>
  <si>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</si>
  <si>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</si>
  <si>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</si>
  <si>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</si>
  <si>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</si>
  <si>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</si>
  <si>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</si>
  <si>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</si>
  <si>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</si>
  <si>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</si>
  <si>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</si>
  <si>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</si>
  <si>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</si>
  <si>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</si>
  <si>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</si>
  <si>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</si>
  <si>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</si>
  <si>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</si>
  <si>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</si>
  <si>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</si>
  <si>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</si>
  <si>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</si>
  <si>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</si>
  <si>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</si>
  <si>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</si>
  <si>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</si>
  <si>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</si>
  <si>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</si>
  <si>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</si>
  <si>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</si>
  <si>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</si>
  <si>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</si>
  <si>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</si>
  <si>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</si>
  <si>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</si>
  <si>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</si>
  <si>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</si>
  <si>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</si>
  <si>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</si>
  <si>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</si>
  <si>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</si>
  <si>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</si>
  <si>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</si>
  <si>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</si>
  <si>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</si>
  <si>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</si>
  <si>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</si>
  <si>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</si>
  <si>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</si>
  <si>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</si>
  <si>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</si>
  <si>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</si>
  <si>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</si>
  <si>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</si>
  <si>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</si>
  <si>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</si>
  <si>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</si>
  <si>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</si>
  <si>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</si>
  <si>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</si>
  <si>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</si>
  <si>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</si>
  <si>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</si>
  <si>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</si>
  <si>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</si>
  <si>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</si>
  <si>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</si>
  <si>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</si>
  <si>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</si>
  <si>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</si>
  <si>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</si>
  <si>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</si>
  <si>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</si>
  <si>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</si>
  <si>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</si>
  <si>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</si>
  <si>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</si>
  <si>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</si>
  <si>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</si>
  <si>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</si>
  <si>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</si>
  <si>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</si>
  <si>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</si>
  <si>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</si>
  <si>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</si>
  <si>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</si>
  <si>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</si>
  <si>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</si>
  <si>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</si>
  <si>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</si>
  <si>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</si>
  <si>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</si>
  <si>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</si>
  <si>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</si>
  <si>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</si>
  <si>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</si>
  <si>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</si>
  <si>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</si>
  <si>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</si>
  <si>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</si>
  <si>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</si>
  <si>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</si>
  <si>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</si>
  <si>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</si>
  <si>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</si>
  <si>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</si>
  <si>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</si>
  <si>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</si>
  <si>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</si>
  <si>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</si>
  <si>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</si>
  <si>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</si>
  <si>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</si>
  <si>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</si>
  <si>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</si>
  <si>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</si>
  <si>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</si>
  <si>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</si>
  <si>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</si>
  <si>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</si>
  <si>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</si>
  <si>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</si>
  <si>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</si>
  <si>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</si>
  <si>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</si>
  <si>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</si>
  <si>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</si>
  <si>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</si>
  <si>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</si>
  <si>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</si>
  <si>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</si>
  <si>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</si>
  <si>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</si>
  <si>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</si>
  <si>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</si>
  <si>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</si>
  <si>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</si>
  <si>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</si>
  <si>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</si>
  <si>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</si>
  <si>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</si>
  <si>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</si>
  <si>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</si>
  <si>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</si>
  <si>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</si>
  <si>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</si>
  <si>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</si>
  <si>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</si>
  <si>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</si>
  <si>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</si>
  <si>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</si>
  <si>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</si>
  <si>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</si>
  <si>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</si>
  <si>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</si>
  <si>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</si>
  <si>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</si>
  <si>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</si>
  <si>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</si>
  <si>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</si>
  <si>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</si>
  <si>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</si>
  <si>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</si>
  <si>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</si>
  <si>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</si>
  <si>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</si>
  <si>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</si>
  <si>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</si>
  <si>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</si>
  <si>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</si>
  <si>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</si>
  <si>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</si>
  <si>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</si>
  <si>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</si>
  <si>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</si>
  <si>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</si>
  <si>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</si>
  <si>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</si>
  <si>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</si>
  <si>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</si>
  <si>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</si>
  <si>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</si>
  <si>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</si>
  <si>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</si>
  <si>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</si>
  <si>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</si>
  <si>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</si>
  <si>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</si>
  <si>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</si>
  <si>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</si>
  <si>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0639.HK</t>
  </si>
  <si>
    <t>首鋼資源</t>
  </si>
  <si>
    <t>Tier 3</t>
  </si>
  <si>
    <t>C0017</t>
  </si>
  <si>
    <t>disagree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</si>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</sst>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45639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286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5091065770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282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288</v>
      </c>
      <c r="D18" s="75"/>
    </row>
    <row r="19" spans="2:13" x14ac:dyDescent="0.35">
      <c r="B19" s="56" t="s">
        <v>211</v>
      </c>
      <c r="C19" s="121" t="s">
        <v>288</v>
      </c>
      <c r="D19" s="75"/>
    </row>
    <row r="20" spans="2:13" x14ac:dyDescent="0.35">
      <c r="B20" s="57" t="s">
        <v>200</v>
      </c>
      <c r="C20" s="121" t="s">
        <v>288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5891068</v>
      </c>
      <c r="D25" s="77">
        <v>8214719</v>
      </c>
      <c r="E25" s="77">
        <v>7075818</v>
      </c>
      <c r="F25" s="77">
        <v>3996951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2425040</v>
      </c>
      <c r="D26" s="78">
        <v>2925125</v>
      </c>
      <c r="E26" s="78">
        <v>2681244</v>
      </c>
      <c r="F26" s="78">
        <v>2127744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415858+9934</f>
        <v>425792</v>
      </c>
      <c r="D27" s="78">
        <f>556324+118037</f>
        <v>674361</v>
      </c>
      <c r="E27" s="78">
        <v>477644</v>
      </c>
      <c r="F27" s="78">
        <v>498500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2921</v>
      </c>
      <c r="D29" s="78">
        <v>1360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457540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346446</v>
      </c>
      <c r="D31" s="78">
        <v>457540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0.18+0.1</f>
        <v>0.28000000000000003</v>
      </c>
      <c r="D44" s="81">
        <f>0.28+0.15</f>
        <v>0.43000000000000005</v>
      </c>
      <c r="E44" s="81">
        <f>0.32+0.08</f>
        <v>0.4</v>
      </c>
      <c r="F44" s="81">
        <f>0.09+0.075</f>
        <v>0.16499999999999998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0.10980392156862746</v>
      </c>
      <c r="D45" s="82">
        <f>IF(D44="","",D44*Exchange_Rate/Dashboard!$G$3)</f>
        <v>0.1686274509803922</v>
      </c>
      <c r="E45" s="82">
        <f>IF(E44="","",E44*Exchange_Rate/Dashboard!$G$3)</f>
        <v>0.15686274509803924</v>
      </c>
      <c r="F45" s="82">
        <f>IF(F44="","",F44*Exchange_Rate/Dashboard!$G$3)</f>
        <v>6.4705882352941169E-2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5891068</v>
      </c>
      <c r="D91" s="98"/>
      <c r="E91" s="99">
        <f>C91</f>
        <v>5891068</v>
      </c>
      <c r="F91" s="99">
        <f>C91</f>
        <v>5891068</v>
      </c>
    </row>
    <row r="92" spans="2:8" x14ac:dyDescent="0.35">
      <c r="B92" s="100" t="s">
        <v>98</v>
      </c>
      <c r="C92" s="97">
        <f>C26</f>
        <v>2425040</v>
      </c>
      <c r="D92" s="101">
        <f>C92/C91</f>
        <v>0.41164692038862905</v>
      </c>
      <c r="E92" s="102">
        <f>E91*D92</f>
        <v>2425040</v>
      </c>
      <c r="F92" s="102">
        <f>F91*D92</f>
        <v>2425040</v>
      </c>
    </row>
    <row r="93" spans="2:8" x14ac:dyDescent="0.35">
      <c r="B93" s="100" t="s">
        <v>217</v>
      </c>
      <c r="C93" s="97">
        <f>C27+C28</f>
        <v>425792</v>
      </c>
      <c r="D93" s="101">
        <f>C93/C91</f>
        <v>7.227755646344601E-2</v>
      </c>
      <c r="E93" s="102">
        <f>E91*D93</f>
        <v>425791.99999999994</v>
      </c>
      <c r="F93" s="102">
        <f>F91*D93</f>
        <v>425791.99999999994</v>
      </c>
    </row>
    <row r="94" spans="2:8" x14ac:dyDescent="0.35">
      <c r="B94" s="100" t="s">
        <v>223</v>
      </c>
      <c r="C94" s="97">
        <f>C29</f>
        <v>2921</v>
      </c>
      <c r="D94" s="101">
        <f>C94/C91</f>
        <v>4.9583539011941466E-4</v>
      </c>
      <c r="E94" s="103"/>
      <c r="F94" s="102">
        <f>F91*D94</f>
        <v>2921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461928</v>
      </c>
      <c r="D97" s="101">
        <f>C97/C91</f>
        <v>7.8411588526902082E-2</v>
      </c>
      <c r="E97" s="103"/>
      <c r="F97" s="102">
        <f>F91*D97</f>
        <v>461928</v>
      </c>
    </row>
    <row r="98" spans="2:6" x14ac:dyDescent="0.35">
      <c r="B98" s="8" t="s">
        <v>181</v>
      </c>
      <c r="C98" s="104">
        <f>C44</f>
        <v>0.28000000000000003</v>
      </c>
      <c r="D98" s="105"/>
      <c r="E98" s="106">
        <f>F98</f>
        <v>0.16499999999999998</v>
      </c>
      <c r="F98" s="106">
        <f>F44</f>
        <v>0.16499999999999998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0639.HK : 首鋼資源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0639.HK</v>
      </c>
      <c r="D3" s="317"/>
      <c r="E3" s="3"/>
      <c r="F3" s="9" t="s">
        <v>1</v>
      </c>
      <c r="G3" s="10">
        <v>2.5499999999999998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首鋼資源</v>
      </c>
      <c r="D4" s="319"/>
      <c r="E4" s="3"/>
      <c r="F4" s="9" t="s">
        <v>3</v>
      </c>
      <c r="G4" s="322">
        <f>Inputs!C10</f>
        <v>5091065770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45639</v>
      </c>
      <c r="D5" s="321"/>
      <c r="E5" s="16"/>
      <c r="F5" s="12" t="s">
        <v>92</v>
      </c>
      <c r="G5" s="314">
        <f>G3*G4/1000000</f>
        <v>12982.2177135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C0017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0.43766393462102288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4.9583539011941466E-4</v>
      </c>
      <c r="F24" s="39" t="s">
        <v>225</v>
      </c>
      <c r="G24" s="43">
        <f>G3/(Fin_Analysis!H86*G7)</f>
        <v>6.7211737956276085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0.43489948089355107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6.4705882352941169E-2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1.7174293167595343</v>
      </c>
      <c r="D29" s="54">
        <f>G29*(1+G20)</f>
        <v>2.9871300183890819</v>
      </c>
      <c r="E29" s="3"/>
      <c r="F29" s="55">
        <f>IF(Fin_Analysis!C108="Profit",Fin_Analysis!F100,IF(Fin_Analysis!C108="Dividend",Fin_Analysis!F103,Fin_Analysis!F106))</f>
        <v>2.0205050785406287</v>
      </c>
      <c r="G29" s="313">
        <f>IF(Fin_Analysis!C108="Profit",Fin_Analysis!I100,IF(Fin_Analysis!C108="Dividend",Fin_Analysis!I103,Fin_Analysis!I106))</f>
        <v>2.5975043638165931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disagree</v>
      </c>
    </row>
    <row r="37" spans="1:4" ht="15.75" customHeight="1" x14ac:dyDescent="0.35">
      <c r="B37" s="56" t="s">
        <v>211</v>
      </c>
      <c r="C37" s="112" t="str">
        <f>Inputs!C19</f>
        <v>disagree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disagree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2578308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5891068</v>
      </c>
      <c r="D6" s="142">
        <f>IF(Inputs!D25="","",Inputs!D25)</f>
        <v>8214719</v>
      </c>
      <c r="E6" s="142">
        <f>IF(Inputs!E25="","",Inputs!E25)</f>
        <v>7075818</v>
      </c>
      <c r="F6" s="142">
        <f>IF(Inputs!F25="","",Inputs!F25)</f>
        <v>3996951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-0.28286433169533853</v>
      </c>
      <c r="D7" s="143">
        <f t="shared" si="1"/>
        <v>0.16095679679720432</v>
      </c>
      <c r="E7" s="143">
        <f t="shared" si="1"/>
        <v>0.77030391415856747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2425040</v>
      </c>
      <c r="D8" s="144">
        <f>IF(Inputs!D26="","",Inputs!D26)</f>
        <v>2925125</v>
      </c>
      <c r="E8" s="144">
        <f>IF(Inputs!E26="","",Inputs!E26)</f>
        <v>2681244</v>
      </c>
      <c r="F8" s="144">
        <f>IF(Inputs!F26="","",Inputs!F26)</f>
        <v>2127744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3466028</v>
      </c>
      <c r="D9" s="273">
        <f t="shared" si="2"/>
        <v>5289594</v>
      </c>
      <c r="E9" s="273">
        <f t="shared" si="2"/>
        <v>4394574</v>
      </c>
      <c r="F9" s="273">
        <f t="shared" si="2"/>
        <v>1869207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425792</v>
      </c>
      <c r="D10" s="144">
        <f>IF(Inputs!D27="","",Inputs!D27)</f>
        <v>674361</v>
      </c>
      <c r="E10" s="144">
        <f>IF(Inputs!E27="","",Inputs!E27)</f>
        <v>477644</v>
      </c>
      <c r="F10" s="144">
        <f>IF(Inputs!F27="","",Inputs!F27)</f>
        <v>498500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461928</v>
      </c>
      <c r="D12" s="144">
        <f>IF(Inputs!D31="","",MAX(Inputs!D31,0)/(1-Fin_Analysis!$I$84))</f>
        <v>610053.33333333337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0.43766393462102288</v>
      </c>
      <c r="D13" s="292">
        <f t="shared" si="3"/>
        <v>0.48756137205261268</v>
      </c>
      <c r="E13" s="292">
        <f t="shared" si="3"/>
        <v>0.55356567961471026</v>
      </c>
      <c r="F13" s="292">
        <f t="shared" si="3"/>
        <v>0.3429381546083502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2578308</v>
      </c>
      <c r="D14" s="294">
        <f t="shared" ref="D14:M14" si="4">IF(D6="","",D9-D10-MAX(D11,0)-MAX(D12,0))</f>
        <v>4005179.6666666665</v>
      </c>
      <c r="E14" s="294">
        <f t="shared" si="4"/>
        <v>3916930</v>
      </c>
      <c r="F14" s="294">
        <f t="shared" si="4"/>
        <v>1370707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-0.35625659406540144</v>
      </c>
      <c r="D15" s="296">
        <f t="shared" ref="D15:M15" si="5">IF(E14="","",IF(ABS(D14+E14)=ABS(D14)+ABS(E14),IF(D14&lt;0,-1,1)*(D14-E14)/E14,"Turn"))</f>
        <v>2.2530314983077695E-2</v>
      </c>
      <c r="E15" s="296">
        <f t="shared" si="5"/>
        <v>1.8575983051082399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-3547639.6666666665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457540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2921</v>
      </c>
      <c r="D19" s="144">
        <f>IF(Inputs!D29="","",Inputs!D29)</f>
        <v>1360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2575387</v>
      </c>
      <c r="D24" s="309">
        <f t="shared" si="9"/>
        <v>4003819.6666666665</v>
      </c>
      <c r="E24" s="309">
        <f t="shared" si="9"/>
        <v>3916930</v>
      </c>
      <c r="F24" s="309">
        <f t="shared" si="9"/>
        <v>1370707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0.32787607442317762</v>
      </c>
      <c r="D25" s="143">
        <f t="shared" si="10"/>
        <v>0.36554686167597455</v>
      </c>
      <c r="E25" s="143">
        <f t="shared" si="10"/>
        <v>0.41517425971103272</v>
      </c>
      <c r="F25" s="143">
        <f t="shared" si="10"/>
        <v>0.25720361595626268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1931540.25</v>
      </c>
      <c r="D26" s="276">
        <f>IF(D6="","",D24*(1-Fin_Analysis!$I$84))</f>
        <v>3002864.75</v>
      </c>
      <c r="E26" s="276">
        <f>IF(E6="","",E24*(1-Fin_Analysis!$I$84))</f>
        <v>2937697.5</v>
      </c>
      <c r="F26" s="276">
        <f>IF(F6="","",F24*(1-Fin_Analysis!$I$84))</f>
        <v>1028030.25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-0.35676748345059495</v>
      </c>
      <c r="D27" s="305">
        <f t="shared" si="11"/>
        <v>2.2183104284903398E-2</v>
      </c>
      <c r="E27" s="305">
        <f t="shared" si="11"/>
        <v>1.8575983051082399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0.41164692038862905</v>
      </c>
      <c r="D42" s="150">
        <f t="shared" si="35"/>
        <v>0.35608339128824734</v>
      </c>
      <c r="E42" s="150">
        <f t="shared" si="35"/>
        <v>0.37893060562043851</v>
      </c>
      <c r="F42" s="150">
        <f t="shared" si="35"/>
        <v>0.53234177751991452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7.227755646344601E-2</v>
      </c>
      <c r="D43" s="146">
        <f t="shared" si="36"/>
        <v>8.2091791575585243E-2</v>
      </c>
      <c r="E43" s="146">
        <f t="shared" si="36"/>
        <v>6.7503714764851216E-2</v>
      </c>
      <c r="F43" s="146">
        <f t="shared" si="36"/>
        <v>0.12472006787173523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4.9583539011941466E-4</v>
      </c>
      <c r="D45" s="146">
        <f t="shared" si="38"/>
        <v>1.6555648464664465E-4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7.8411588526902082E-2</v>
      </c>
      <c r="D46" s="146">
        <f t="shared" si="39"/>
        <v>7.4263445083554702E-2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0.43716809923090344</v>
      </c>
      <c r="D48" s="281">
        <f t="shared" si="41"/>
        <v>0.48739581556796607</v>
      </c>
      <c r="E48" s="281">
        <f t="shared" si="41"/>
        <v>0.55356567961471026</v>
      </c>
      <c r="F48" s="281">
        <f t="shared" si="41"/>
        <v>0.3429381546083502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1.1341984719189775E-3</v>
      </c>
      <c r="D57" s="146">
        <f t="shared" si="48"/>
        <v>3.3967563807194446E-4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5891068</v>
      </c>
      <c r="D74" s="98"/>
      <c r="E74" s="256">
        <f>Inputs!E91</f>
        <v>5891068</v>
      </c>
      <c r="F74" s="98"/>
      <c r="H74" s="256">
        <f>Inputs!F91</f>
        <v>5891068</v>
      </c>
      <c r="I74" s="98"/>
      <c r="K74" s="75"/>
    </row>
    <row r="75" spans="1:11" ht="15" customHeight="1" x14ac:dyDescent="0.35">
      <c r="B75" s="100" t="s">
        <v>98</v>
      </c>
      <c r="C75" s="97">
        <f>Data!C8</f>
        <v>2425040</v>
      </c>
      <c r="D75" s="101">
        <f>C75/$C$74</f>
        <v>0.41164692038862905</v>
      </c>
      <c r="E75" s="256">
        <f>Inputs!E92</f>
        <v>2425040</v>
      </c>
      <c r="F75" s="211">
        <f>E75/E74</f>
        <v>0.41164692038862905</v>
      </c>
      <c r="H75" s="256">
        <f>Inputs!F92</f>
        <v>2425040</v>
      </c>
      <c r="I75" s="211">
        <f>H75/$H$74</f>
        <v>0.41164692038862905</v>
      </c>
      <c r="K75" s="75"/>
    </row>
    <row r="76" spans="1:11" ht="15" customHeight="1" x14ac:dyDescent="0.35">
      <c r="B76" s="12" t="s">
        <v>88</v>
      </c>
      <c r="C76" s="145">
        <f>C74-C75</f>
        <v>3466028</v>
      </c>
      <c r="D76" s="212"/>
      <c r="E76" s="213">
        <f>E74-E75</f>
        <v>3466028</v>
      </c>
      <c r="F76" s="212"/>
      <c r="H76" s="213">
        <f>H74-H75</f>
        <v>3466028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425792</v>
      </c>
      <c r="D77" s="101">
        <f>C77/$C$74</f>
        <v>7.227755646344601E-2</v>
      </c>
      <c r="E77" s="256">
        <f>Inputs!E93</f>
        <v>425791.99999999994</v>
      </c>
      <c r="F77" s="211">
        <f>E77/E74</f>
        <v>7.227755646344601E-2</v>
      </c>
      <c r="H77" s="256">
        <f>Inputs!F93</f>
        <v>425791.99999999994</v>
      </c>
      <c r="I77" s="211">
        <f>H77/$H$74</f>
        <v>7.227755646344601E-2</v>
      </c>
      <c r="K77" s="75"/>
    </row>
    <row r="78" spans="1:11" ht="15" customHeight="1" x14ac:dyDescent="0.35">
      <c r="B78" s="93" t="s">
        <v>151</v>
      </c>
      <c r="C78" s="97">
        <f>MAX(Data!C12,0)</f>
        <v>461928</v>
      </c>
      <c r="D78" s="101">
        <f>C78/$C$74</f>
        <v>7.8411588526902082E-2</v>
      </c>
      <c r="E78" s="214">
        <f>E74*F78</f>
        <v>461928</v>
      </c>
      <c r="F78" s="211">
        <f>I78</f>
        <v>7.8411588526902082E-2</v>
      </c>
      <c r="H78" s="256">
        <f>Inputs!F97</f>
        <v>461928</v>
      </c>
      <c r="I78" s="211">
        <f>H78/$H$74</f>
        <v>7.8411588526902082E-2</v>
      </c>
      <c r="K78" s="75"/>
    </row>
    <row r="79" spans="1:11" ht="15" customHeight="1" x14ac:dyDescent="0.35">
      <c r="B79" s="215" t="s">
        <v>204</v>
      </c>
      <c r="C79" s="216">
        <f>C76-C77-C78</f>
        <v>2578308</v>
      </c>
      <c r="D79" s="217">
        <f>C79/C74</f>
        <v>0.43766393462102288</v>
      </c>
      <c r="E79" s="218">
        <f>E76-E77-E78</f>
        <v>2578308</v>
      </c>
      <c r="F79" s="217">
        <f>E79/E74</f>
        <v>0.43766393462102288</v>
      </c>
      <c r="G79" s="219"/>
      <c r="H79" s="218">
        <f>H76-H77-H78</f>
        <v>2578308</v>
      </c>
      <c r="I79" s="217">
        <f>H79/H74</f>
        <v>0.43766393462102288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2921</v>
      </c>
      <c r="D81" s="101">
        <f>C81/$C$74</f>
        <v>4.9583539011941466E-4</v>
      </c>
      <c r="E81" s="214">
        <f>E74*F81</f>
        <v>2921</v>
      </c>
      <c r="F81" s="211">
        <f>I81</f>
        <v>4.9583539011941466E-4</v>
      </c>
      <c r="H81" s="256">
        <f>Inputs!F94</f>
        <v>2921</v>
      </c>
      <c r="I81" s="211">
        <f>H81/$H$74</f>
        <v>4.9583539011941466E-4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2575387</v>
      </c>
      <c r="D83" s="223">
        <f>C83/$C$74</f>
        <v>0.43716809923090344</v>
      </c>
      <c r="E83" s="224">
        <f>E79-E81-E82-E80</f>
        <v>2575387</v>
      </c>
      <c r="F83" s="223">
        <f>E83/E74</f>
        <v>0.43716809923090344</v>
      </c>
      <c r="H83" s="224">
        <f>H79-H81-H82-H80</f>
        <v>2575387</v>
      </c>
      <c r="I83" s="223">
        <f>H83/$H$74</f>
        <v>0.43716809923090344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1931540.25</v>
      </c>
      <c r="D85" s="217">
        <f>C85/$C$74</f>
        <v>0.32787607442317762</v>
      </c>
      <c r="E85" s="229">
        <f>E83*(1-F84)</f>
        <v>1931540.25</v>
      </c>
      <c r="F85" s="217">
        <f>E85/E74</f>
        <v>0.32787607442317762</v>
      </c>
      <c r="G85" s="219"/>
      <c r="H85" s="229">
        <f>H83*(1-I84)</f>
        <v>1931540.25</v>
      </c>
      <c r="I85" s="217">
        <f>H85/$H$74</f>
        <v>0.32787607442317762</v>
      </c>
      <c r="K85" s="75"/>
    </row>
    <row r="86" spans="1:11" ht="15" customHeight="1" x14ac:dyDescent="0.35">
      <c r="B86" s="3" t="s">
        <v>144</v>
      </c>
      <c r="C86" s="230">
        <f>C85*Data!C4/Common_Shares</f>
        <v>0.37939801551611069</v>
      </c>
      <c r="D86" s="98"/>
      <c r="E86" s="231">
        <f>E85*Data!C4/Common_Shares</f>
        <v>0.37939801551611069</v>
      </c>
      <c r="F86" s="98"/>
      <c r="H86" s="231">
        <f>H85*Data!C4/Common_Shares</f>
        <v>0.37939801551611069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0.14878353549651402</v>
      </c>
      <c r="D87" s="98"/>
      <c r="E87" s="233">
        <f>E86*Exchange_Rate/Dashboard!G3</f>
        <v>0.14878353549651402</v>
      </c>
      <c r="F87" s="98"/>
      <c r="H87" s="233">
        <f>H86*Exchange_Rate/Dashboard!G3</f>
        <v>0.14878353549651402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0.28000000000000003</v>
      </c>
      <c r="D88" s="235">
        <f>C88/C86</f>
        <v>0.73801124030420806</v>
      </c>
      <c r="E88" s="255">
        <f>Inputs!E98</f>
        <v>0.16499999999999998</v>
      </c>
      <c r="F88" s="235">
        <f>E88/E86</f>
        <v>0.43489948089355107</v>
      </c>
      <c r="H88" s="255">
        <f>Inputs!F98</f>
        <v>0.16499999999999998</v>
      </c>
      <c r="I88" s="235">
        <f>H88/H86</f>
        <v>0.43489948089355107</v>
      </c>
      <c r="K88" s="75"/>
    </row>
    <row r="89" spans="1:11" ht="15" customHeight="1" x14ac:dyDescent="0.35">
      <c r="B89" s="3" t="s">
        <v>194</v>
      </c>
      <c r="C89" s="232">
        <f>C88*Exchange_Rate/Dashboard!G3</f>
        <v>0.10980392156862746</v>
      </c>
      <c r="D89" s="98"/>
      <c r="E89" s="232">
        <f>E88*Exchange_Rate/Dashboard!G3</f>
        <v>6.4705882352941169E-2</v>
      </c>
      <c r="F89" s="98"/>
      <c r="H89" s="232">
        <f>H88*Exchange_Rate/Dashboard!G3</f>
        <v>6.4705882352941169E-2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11.012771159677815</v>
      </c>
      <c r="H93" s="3" t="s">
        <v>183</v>
      </c>
      <c r="I93" s="237">
        <f>FV(H87,D93,0,-(H86/(C93-D94)))*Exchange_Rate</f>
        <v>11.012771159677815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3.5338760105242994</v>
      </c>
      <c r="H94" s="3" t="s">
        <v>184</v>
      </c>
      <c r="I94" s="237">
        <f>FV(H89,D93,0,-(H88/(C93-D94)))*Exchange_Rate</f>
        <v>3.5338760105242994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32056341.870635938</v>
      </c>
      <c r="D97" s="244"/>
      <c r="E97" s="245">
        <f>PV(C94,D93,0,-F93)</f>
        <v>6.2965876535191443</v>
      </c>
      <c r="F97" s="244"/>
      <c r="H97" s="245">
        <f>PV(C94,D93,0,-I93)</f>
        <v>6.2965876535191443</v>
      </c>
      <c r="I97" s="245">
        <f>PV(C93,D93,0,-I93)</f>
        <v>8.0947155643790101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5.3520995054912728</v>
      </c>
      <c r="E100" s="251">
        <f>MAX(E97+H98+E99,0)</f>
        <v>6.2965876535191443</v>
      </c>
      <c r="F100" s="251">
        <f>(E100+H100)/2</f>
        <v>6.2965876535191443</v>
      </c>
      <c r="H100" s="251">
        <f>MAX(H97+H98+H99,0)</f>
        <v>6.2965876535191443</v>
      </c>
      <c r="I100" s="251">
        <f>MAX(I97+H98+H99,0)</f>
        <v>8.0947155643790101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1.7174293167595343</v>
      </c>
      <c r="E103" s="245">
        <f>PV(C94,D93,0,-F94)</f>
        <v>2.0205050785406287</v>
      </c>
      <c r="F103" s="251">
        <f>(E103+H103)/2</f>
        <v>2.0205050785406287</v>
      </c>
      <c r="H103" s="245">
        <f>PV(C94,D93,0,-I94)</f>
        <v>2.0205050785406287</v>
      </c>
      <c r="I103" s="251">
        <f>PV(C93,D93,0,-I94)</f>
        <v>2.5975043638165931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3.5347644111254035</v>
      </c>
      <c r="E106" s="245">
        <f>(E100+E103)/2</f>
        <v>4.1585463660298867</v>
      </c>
      <c r="F106" s="251">
        <f>(F100+F103)/2</f>
        <v>4.1585463660298867</v>
      </c>
      <c r="H106" s="245">
        <f>(H100+H103)/2</f>
        <v>4.1585463660298867</v>
      </c>
      <c r="I106" s="245">
        <f>(I100+I103)/2</f>
        <v>5.3461099640978018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