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77B93E-76A2-4247-B7FF-2AD366C1120A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1" i="4"/>
  <c r="F92" i="4" s="1"/>
  <c r="E91" i="4"/>
  <c r="E92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F95" i="4" l="1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<sst xmlns="http://schemas.openxmlformats.org/spreadsheetml/2006/main" count="405" uniqueCount="290">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</sst>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9267407258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609015</v>
      </c>
      <c r="D25" s="77">
        <v>554552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315906</v>
      </c>
      <c r="D26" s="78">
        <v>315806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34211+103525</f>
        <v>137736</v>
      </c>
      <c r="D27" s="78">
        <f>29229+106696</f>
        <v>135925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12268</v>
      </c>
      <c r="D29" s="78">
        <v>9352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466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2832</v>
      </c>
      <c r="D31" s="78">
        <v>466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f>431184</f>
        <v>431184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2258059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727373</v>
      </c>
      <c r="D37" s="78">
        <v>7382230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2478102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f>504914+87402</f>
        <v>592316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f>872836+171260</f>
        <v>1044096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927597</v>
      </c>
      <c r="D41" s="302">
        <v>26334346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66916</v>
      </c>
      <c r="D42" s="78">
        <v>1389487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f>211741+3338+99866+1800+540000+8670910+10440941</f>
        <v>19968596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3.4/Exchange_Rate</f>
        <v>3.1960803661209618</v>
      </c>
      <c r="D44" s="81">
        <f>2.4/Exchange_Rate</f>
        <v>2.256056729026561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8.1456636320076676E-3</v>
      </c>
      <c r="D45" s="82">
        <f>IF(D44="","",D44*Exchange_Rate/Dashboard!$G$3)</f>
        <v>5.74988021082894E-3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200090+153511</f>
        <v>353601</v>
      </c>
      <c r="D48" s="109">
        <v>0.9</v>
      </c>
      <c r="E48" s="260"/>
    </row>
    <row r="49" spans="2:5" x14ac:dyDescent="0.35">
      <c r="B49" s="2" t="s">
        <v>123</v>
      </c>
      <c r="C49" s="86">
        <v>3408</v>
      </c>
      <c r="D49" s="109">
        <v>0.8</v>
      </c>
      <c r="E49" s="260"/>
    </row>
    <row r="50" spans="2:5" x14ac:dyDescent="0.35">
      <c r="B50" s="9" t="s">
        <v>105</v>
      </c>
      <c r="C50" s="86">
        <v>52250</v>
      </c>
      <c r="D50" s="109">
        <f>D51</f>
        <v>0.6</v>
      </c>
      <c r="E50" s="260"/>
    </row>
    <row r="51" spans="2:5" x14ac:dyDescent="0.35">
      <c r="B51" s="9" t="s">
        <v>34</v>
      </c>
      <c r="C51" s="86">
        <f>8864+850</f>
        <v>9714</v>
      </c>
      <c r="D51" s="109">
        <v>0.6</v>
      </c>
      <c r="E51" s="260"/>
    </row>
    <row r="52" spans="2:5" x14ac:dyDescent="0.35">
      <c r="B52" s="9" t="s">
        <v>36</v>
      </c>
      <c r="C52" s="86">
        <f>5437</f>
        <v>5437</v>
      </c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92844</v>
      </c>
      <c r="D54" s="109">
        <v>0.1</v>
      </c>
      <c r="E54" s="260"/>
    </row>
    <row r="55" spans="2:5" x14ac:dyDescent="0.35">
      <c r="B55" s="9" t="s">
        <v>39</v>
      </c>
      <c r="C55" s="86">
        <v>4387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51490</v>
      </c>
      <c r="D60" s="109">
        <f>D49</f>
        <v>0.8</v>
      </c>
      <c r="E60" s="260"/>
    </row>
    <row r="61" spans="2:5" x14ac:dyDescent="0.35">
      <c r="B61" s="9" t="s">
        <v>55</v>
      </c>
      <c r="C61" s="86">
        <f>206848+253436</f>
        <v>460284</v>
      </c>
      <c r="D61" s="109">
        <f>D51</f>
        <v>0.6</v>
      </c>
      <c r="E61" s="260"/>
    </row>
    <row r="62" spans="2:5" x14ac:dyDescent="0.35">
      <c r="B62" s="9" t="s">
        <v>57</v>
      </c>
      <c r="C62" s="86">
        <v>1144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f>262961+7221</f>
        <v>270182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659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13463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57195+23479+18800+27746</f>
        <v>127220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177621</v>
      </c>
      <c r="D70" s="109">
        <v>0.05</v>
      </c>
      <c r="E70" s="260"/>
    </row>
    <row r="71" spans="2:5" x14ac:dyDescent="0.35">
      <c r="B71" s="9" t="s">
        <v>67</v>
      </c>
      <c r="C71" s="86">
        <v>31266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>
        <v>52462</v>
      </c>
    </row>
    <row r="74" spans="2:5" x14ac:dyDescent="0.35">
      <c r="B74" s="9" t="s">
        <v>32</v>
      </c>
      <c r="C74" s="86">
        <v>5999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387826</v>
      </c>
    </row>
    <row r="78" spans="2:5" ht="12" thickTop="1" x14ac:dyDescent="0.35">
      <c r="B78" s="9" t="s">
        <v>54</v>
      </c>
      <c r="C78" s="86">
        <v>152946</v>
      </c>
    </row>
    <row r="79" spans="2:5" x14ac:dyDescent="0.35">
      <c r="B79" s="9" t="s">
        <v>56</v>
      </c>
      <c r="C79" s="86">
        <v>14979</v>
      </c>
    </row>
    <row r="80" spans="2:5" x14ac:dyDescent="0.35">
      <c r="B80" s="9" t="s">
        <v>58</v>
      </c>
      <c r="C80" s="86">
        <v>0</v>
      </c>
    </row>
    <row r="81" spans="2:8" x14ac:dyDescent="0.35">
      <c r="B81" s="8" t="s">
        <v>59</v>
      </c>
      <c r="C81" s="88">
        <v>86574</v>
      </c>
    </row>
    <row r="82" spans="2:8" hidden="1" x14ac:dyDescent="0.35">
      <c r="B82" s="300" t="s">
        <v>277</v>
      </c>
      <c r="C82" s="79">
        <v>339547</v>
      </c>
    </row>
    <row r="83" spans="2:8" hidden="1" x14ac:dyDescent="0.35">
      <c r="B83" s="300" t="s">
        <v>246</v>
      </c>
      <c r="C83" s="79">
        <v>860681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609015</v>
      </c>
      <c r="D91" s="98"/>
      <c r="E91" s="99">
        <f>C91</f>
        <v>609015</v>
      </c>
      <c r="F91" s="99">
        <f>C91</f>
        <v>609015</v>
      </c>
    </row>
    <row r="92" spans="2:8" x14ac:dyDescent="0.35">
      <c r="B92" s="100" t="s">
        <v>97</v>
      </c>
      <c r="C92" s="97">
        <f>C26</f>
        <v>315906</v>
      </c>
      <c r="D92" s="101">
        <f>C92/C91</f>
        <v>0.51871628777616319</v>
      </c>
      <c r="E92" s="102">
        <f>E91*D92</f>
        <v>315906</v>
      </c>
      <c r="F92" s="102">
        <f>F91*D92</f>
        <v>315906</v>
      </c>
    </row>
    <row r="93" spans="2:8" x14ac:dyDescent="0.35">
      <c r="B93" s="100" t="s">
        <v>216</v>
      </c>
      <c r="C93" s="97">
        <f>C27+C28</f>
        <v>137736</v>
      </c>
      <c r="D93" s="101">
        <f>C93/C91</f>
        <v>0.22616191719415779</v>
      </c>
      <c r="E93" s="102">
        <f>E91*D93</f>
        <v>137736</v>
      </c>
      <c r="F93" s="102">
        <f>F91*D93</f>
        <v>137736</v>
      </c>
    </row>
    <row r="94" spans="2:8" x14ac:dyDescent="0.35">
      <c r="B94" s="100" t="s">
        <v>222</v>
      </c>
      <c r="C94" s="97">
        <f>C29</f>
        <v>12268</v>
      </c>
      <c r="D94" s="101">
        <f>C94/C91</f>
        <v>2.0144003021272054E-2</v>
      </c>
      <c r="E94" s="103"/>
      <c r="F94" s="102">
        <f>F91*D94</f>
        <v>12268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3776</v>
      </c>
      <c r="D97" s="101">
        <f>C97/C91</f>
        <v>6.2001756935379264E-3</v>
      </c>
      <c r="E97" s="103"/>
      <c r="F97" s="102">
        <f>F91*D97</f>
        <v>3776</v>
      </c>
    </row>
    <row r="98" spans="2:6" x14ac:dyDescent="0.35">
      <c r="B98" s="8" t="s">
        <v>180</v>
      </c>
      <c r="C98" s="104">
        <f>C44</f>
        <v>3.1960803661209618</v>
      </c>
      <c r="D98" s="105"/>
      <c r="E98" s="106">
        <f>F98</f>
        <v>3.1960803661209618</v>
      </c>
      <c r="F98" s="106">
        <f>C98</f>
        <v>3.1960803661209618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0700.HK</v>
      </c>
      <c r="D3" s="317"/>
      <c r="E3" s="3"/>
      <c r="F3" s="9" t="s">
        <v>1</v>
      </c>
      <c r="G3" s="10">
        <v>417.4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騰訊控股</v>
      </c>
      <c r="D4" s="319"/>
      <c r="E4" s="3"/>
      <c r="F4" s="9" t="s">
        <v>2</v>
      </c>
      <c r="G4" s="322">
        <f>Inputs!C10</f>
        <v>9267407258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4">
        <f>G3*G4/1000000</f>
        <v>3868215.7894891999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0.1761361061763882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0.36799156480177886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1.9228610832584894</v>
      </c>
      <c r="F23" s="39" t="s">
        <v>163</v>
      </c>
      <c r="G23" s="40">
        <f>G3/(Data!C36*Data!C4/Common_Shares*Exchange_Rate)</f>
        <v>3.920036692121283</v>
      </c>
    </row>
    <row r="24" spans="1:8" ht="15.75" customHeight="1" x14ac:dyDescent="0.35">
      <c r="B24" s="41" t="s">
        <v>239</v>
      </c>
      <c r="C24" s="42">
        <f>Fin_Analysis!I81</f>
        <v>2.0144003021272054E-2</v>
      </c>
      <c r="F24" s="39" t="s">
        <v>224</v>
      </c>
      <c r="G24" s="43">
        <f>G3/(Fin_Analysis!H86*G7)</f>
        <v>34.797391071986695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0.2834478429438303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8.1456636320076676E-3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83.218945453487862</v>
      </c>
      <c r="D29" s="54">
        <f>G29*(1+G20)</f>
        <v>154.63347245374487</v>
      </c>
      <c r="E29" s="3"/>
      <c r="F29" s="55">
        <f>IF(Fin_Analysis!C108="Profit",Fin_Analysis!F100,IF(Fin_Analysis!C108="Dividend",Fin_Analysis!F103,Fin_Analysis!F106))</f>
        <v>97.904641709985725</v>
      </c>
      <c r="G29" s="313">
        <f>IF(Fin_Analysis!C108="Profit",Fin_Analysis!I100,IF(Fin_Analysis!C108="Dividend",Fin_Analysis!I103,Fin_Analysis!I106))</f>
        <v>134.46388909021294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151597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609015</v>
      </c>
      <c r="D6" s="142">
        <f>IF(Inputs!D25="","",Inputs!D25)</f>
        <v>554552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9.8210808003577732E-2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315906</v>
      </c>
      <c r="D8" s="144">
        <f>IF(Inputs!D26="","",Inputs!D26)</f>
        <v>315806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293109</v>
      </c>
      <c r="D9" s="273">
        <f t="shared" si="2"/>
        <v>238746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137736</v>
      </c>
      <c r="D10" s="144">
        <f>IF(Inputs!D27="","",Inputs!D27)</f>
        <v>135925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3776</v>
      </c>
      <c r="D12" s="144">
        <f>IF(Inputs!D31="","",MAX(Inputs!D31,0)/(1-Fin_Analysis!$I$84))</f>
        <v>621.33333333333337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0.24892161933614115</v>
      </c>
      <c r="D13" s="292">
        <f t="shared" si="3"/>
        <v>0.18429230562087356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151597</v>
      </c>
      <c r="D14" s="294">
        <f t="shared" ref="D14:M14" si="4">IF(D6="","",D9-D10-MAX(D11,0)-MAX(D12,0))</f>
        <v>102199.66666666667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0.48334143294661752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-101733.66666666667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466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12268</v>
      </c>
      <c r="D19" s="144">
        <f>IF(Inputs!D29="","",Inputs!D29)</f>
        <v>9352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139329</v>
      </c>
      <c r="D24" s="309">
        <f t="shared" si="9"/>
        <v>92847.666666666672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0.17158321223615181</v>
      </c>
      <c r="D25" s="143">
        <f t="shared" si="10"/>
        <v>0.12557118178277241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104496.75</v>
      </c>
      <c r="D26" s="276">
        <f>IF(D6="","",D24*(1-Fin_Analysis!$I$84))</f>
        <v>69635.75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0.50061929396897431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1654970</v>
      </c>
      <c r="D29" s="147">
        <f>IF(D36="","",D36+D32)</f>
        <v>33716576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52250</v>
      </c>
      <c r="D30" s="144">
        <f>IF(Inputs!D35="","",Inputs!D35)</f>
        <v>431184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4387</v>
      </c>
      <c r="D31" s="144">
        <f>IF(Inputs!D36="","",Inputs!D36)</f>
        <v>2258059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727373</v>
      </c>
      <c r="D32" s="144">
        <f>IF(Inputs!D37="","",Inputs!D37)</f>
        <v>7382230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58461</v>
      </c>
      <c r="D33" s="144">
        <f>IF(Inputs!D39="","",Inputs!D39)</f>
        <v>592316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254499</v>
      </c>
      <c r="D34" s="144">
        <f>IF(Inputs!D40="","",Inputs!D40)</f>
        <v>1044096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312960</v>
      </c>
      <c r="D35" s="97">
        <f t="shared" ref="D35" si="23">IF(OR(D33="",D34=""),"",D33+D34)</f>
        <v>1636412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927597</v>
      </c>
      <c r="D36" s="144">
        <f>IF(Inputs!D41="","",Inputs!D41)</f>
        <v>26334346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66916</v>
      </c>
      <c r="D37" s="144">
        <f>IF(Inputs!D42="","",Inputs!D42)</f>
        <v>1389487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19968596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502459</v>
      </c>
      <c r="D39" s="147">
        <f t="shared" ref="D39:M39" si="33">IF(D38="","",D29-D38)</f>
        <v>13747980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0.30171018928907634</v>
      </c>
      <c r="D40" s="148">
        <f>IF(D6="","",D14/MAX(D39,0))</f>
        <v>7.4337951223864647E-3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0.51871628777616319</v>
      </c>
      <c r="D42" s="150">
        <f t="shared" si="35"/>
        <v>0.56947950778285894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0.22616191719415779</v>
      </c>
      <c r="D43" s="146">
        <f t="shared" si="36"/>
        <v>0.2451077626624735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2.0144003021272054E-2</v>
      </c>
      <c r="D45" s="146">
        <f t="shared" si="38"/>
        <v>1.686406324384368E-2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6.2001756935379264E-3</v>
      </c>
      <c r="D46" s="146">
        <f t="shared" si="39"/>
        <v>1.1204239337940056E-3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0.22877761631486909</v>
      </c>
      <c r="D48" s="281">
        <f t="shared" si="41"/>
        <v>0.16742824237702988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0.36799156480177886</v>
      </c>
      <c r="D50" s="153">
        <f t="shared" si="42"/>
        <v>1.6447458959059188E-2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8.5794274361058437E-2</v>
      </c>
      <c r="D51" s="146">
        <f t="shared" si="43"/>
        <v>0.77753574056175079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7.2034350549658056E-3</v>
      </c>
      <c r="D52" s="146">
        <f t="shared" si="44"/>
        <v>4.071861610813774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0.52005836963812035</v>
      </c>
      <c r="D55" s="150">
        <f t="shared" si="46"/>
        <v>0.73983962665722636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0.44519746932515336</v>
      </c>
      <c r="D56" s="154">
        <f t="shared" si="47"/>
        <v>5.6738563800966181E-2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8.8050585305284618E-2</v>
      </c>
      <c r="D57" s="146">
        <f t="shared" si="48"/>
        <v>0.10072412517995426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7.3498032540433522E-2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0.17613610617638822</v>
      </c>
      <c r="D60" s="156">
        <f t="shared" si="50"/>
        <v>4.0970232249725952E-3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0.16188227694116636</v>
      </c>
      <c r="D61" s="156">
        <f t="shared" si="51"/>
        <v>3.7221163152963369E-3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927597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860681</v>
      </c>
      <c r="K3" s="75"/>
    </row>
    <row r="4" spans="1:11" ht="15" customHeight="1" x14ac:dyDescent="0.35">
      <c r="B4" s="9" t="s">
        <v>21</v>
      </c>
      <c r="C4" s="3"/>
      <c r="D4" s="144">
        <f>Inputs!C42</f>
        <v>66916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-262362.92528998776</v>
      </c>
      <c r="E6" s="170">
        <f>1-D6/D3</f>
        <v>1.2828414982907317</v>
      </c>
      <c r="F6" s="3"/>
      <c r="G6" s="3"/>
      <c r="H6" s="2" t="s">
        <v>24</v>
      </c>
      <c r="I6" s="168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1.080311789307576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353601</v>
      </c>
      <c r="D11" s="258">
        <f>Inputs!D48</f>
        <v>0.9</v>
      </c>
      <c r="E11" s="176">
        <f t="shared" ref="E11:E22" si="0">C11*D11</f>
        <v>318240.90000000002</v>
      </c>
      <c r="F11" s="260"/>
      <c r="G11" s="3"/>
      <c r="H11" s="9" t="s">
        <v>31</v>
      </c>
      <c r="I11" s="175">
        <f>Inputs!C73</f>
        <v>52462</v>
      </c>
      <c r="J11" s="3"/>
      <c r="K11" s="75"/>
    </row>
    <row r="12" spans="1:11" ht="11.65" x14ac:dyDescent="0.35">
      <c r="B12" s="2" t="s">
        <v>123</v>
      </c>
      <c r="C12" s="175">
        <f>Inputs!C49</f>
        <v>3408</v>
      </c>
      <c r="D12" s="258">
        <f>Inputs!D49</f>
        <v>0.8</v>
      </c>
      <c r="E12" s="176">
        <f t="shared" si="0"/>
        <v>2726.4</v>
      </c>
      <c r="F12" s="260"/>
      <c r="G12" s="3"/>
      <c r="H12" s="9" t="s">
        <v>32</v>
      </c>
      <c r="I12" s="175">
        <f>Inputs!C74</f>
        <v>5999</v>
      </c>
      <c r="J12" s="3"/>
      <c r="K12" s="75"/>
    </row>
    <row r="13" spans="1:11" ht="11.65" x14ac:dyDescent="0.35">
      <c r="B13" s="9" t="s">
        <v>105</v>
      </c>
      <c r="C13" s="175">
        <f>Inputs!C50</f>
        <v>52250</v>
      </c>
      <c r="D13" s="258">
        <f>Inputs!D50</f>
        <v>0.6</v>
      </c>
      <c r="E13" s="176">
        <f t="shared" si="0"/>
        <v>31350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9714</v>
      </c>
      <c r="D14" s="258">
        <f>Inputs!D51</f>
        <v>0.6</v>
      </c>
      <c r="E14" s="176">
        <f t="shared" si="0"/>
        <v>5828.4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5437</v>
      </c>
      <c r="D15" s="258">
        <f>Inputs!D52</f>
        <v>0.5</v>
      </c>
      <c r="E15" s="176">
        <f t="shared" si="0"/>
        <v>2718.5</v>
      </c>
      <c r="F15" s="260"/>
      <c r="G15" s="3"/>
      <c r="H15" s="2" t="s">
        <v>46</v>
      </c>
      <c r="I15" s="180">
        <f>SUM(I11:I14)</f>
        <v>58461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92844</v>
      </c>
      <c r="D17" s="258">
        <f>Inputs!D54</f>
        <v>0.1</v>
      </c>
      <c r="E17" s="176">
        <f t="shared" si="0"/>
        <v>9284.4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4387</v>
      </c>
      <c r="D18" s="258">
        <f>Inputs!D55</f>
        <v>0.5</v>
      </c>
      <c r="E18" s="176">
        <f t="shared" si="0"/>
        <v>2193.5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329365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418973</v>
      </c>
      <c r="D24" s="185">
        <f>IF(E24=0,0,E24/C24)</f>
        <v>0.85481809090323257</v>
      </c>
      <c r="E24" s="176">
        <f>SUM(E11:E14)</f>
        <v>358145.70000000007</v>
      </c>
      <c r="F24" s="186">
        <f>E24/$E$28</f>
        <v>0.96187269717821322</v>
      </c>
      <c r="G24" s="3"/>
    </row>
    <row r="25" spans="2:10" ht="15" customHeight="1" x14ac:dyDescent="0.35">
      <c r="B25" s="183" t="s">
        <v>47</v>
      </c>
      <c r="C25" s="184">
        <f>SUM(C15:C17)</f>
        <v>98281</v>
      </c>
      <c r="D25" s="185">
        <f>IF(E25=0,0,E25/C25)</f>
        <v>0.12212838697204953</v>
      </c>
      <c r="E25" s="176">
        <f>SUM(E15:E17)</f>
        <v>12002.9</v>
      </c>
      <c r="F25" s="186">
        <f>E25/$E$28</f>
        <v>3.2236215029135831E-2</v>
      </c>
      <c r="G25" s="3"/>
      <c r="H25" s="183" t="s">
        <v>48</v>
      </c>
      <c r="I25" s="168">
        <f>E28/I28</f>
        <v>0.96007513678814749</v>
      </c>
    </row>
    <row r="26" spans="2:10" ht="15" customHeight="1" x14ac:dyDescent="0.35">
      <c r="B26" s="183" t="s">
        <v>49</v>
      </c>
      <c r="C26" s="184">
        <f>C18+C19+C20</f>
        <v>4387</v>
      </c>
      <c r="D26" s="185">
        <f>IF(E26=0,0,E26/C26)</f>
        <v>0.5</v>
      </c>
      <c r="E26" s="176">
        <f>E18+E19+E20</f>
        <v>2193.5</v>
      </c>
      <c r="F26" s="186">
        <f>E26/$E$28</f>
        <v>5.8910877926508969E-3</v>
      </c>
      <c r="G26" s="3"/>
      <c r="H26" s="183" t="s">
        <v>50</v>
      </c>
      <c r="I26" s="168">
        <f>E24/($I$28-I22)</f>
        <v>6.1262328731975177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0.95441924986978721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521641</v>
      </c>
      <c r="D28" s="190">
        <f>E28/C28</f>
        <v>0.71378994365856996</v>
      </c>
      <c r="E28" s="191">
        <f>SUM(E24:E27)</f>
        <v>372342.10000000009</v>
      </c>
      <c r="F28" s="87"/>
      <c r="G28" s="3"/>
      <c r="H28" s="188" t="s">
        <v>15</v>
      </c>
      <c r="I28" s="161">
        <f>Inputs!C77</f>
        <v>387826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51490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152946</v>
      </c>
      <c r="J30" s="3"/>
    </row>
    <row r="31" spans="2:10" ht="15" customHeight="1" x14ac:dyDescent="0.35">
      <c r="B31" s="9" t="s">
        <v>55</v>
      </c>
      <c r="C31" s="175">
        <f>Inputs!C61</f>
        <v>460284</v>
      </c>
      <c r="D31" s="258">
        <f>Inputs!D61</f>
        <v>0.6</v>
      </c>
      <c r="E31" s="176">
        <f t="shared" ref="E31:E42" si="1">C31*D31</f>
        <v>276170.39999999997</v>
      </c>
      <c r="F31" s="260"/>
      <c r="G31" s="3"/>
      <c r="H31" s="9" t="s">
        <v>56</v>
      </c>
      <c r="I31" s="175">
        <f>Inputs!C79</f>
        <v>14979</v>
      </c>
      <c r="J31" s="3"/>
    </row>
    <row r="32" spans="2:10" ht="15" customHeight="1" x14ac:dyDescent="0.35">
      <c r="B32" s="9" t="s">
        <v>57</v>
      </c>
      <c r="C32" s="175">
        <f>Inputs!C62</f>
        <v>1144</v>
      </c>
      <c r="D32" s="258">
        <f>Inputs!D62</f>
        <v>0.5</v>
      </c>
      <c r="E32" s="176">
        <f t="shared" si="1"/>
        <v>572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86574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254499</v>
      </c>
      <c r="J34" s="3"/>
    </row>
    <row r="35" spans="2:10" ht="11.65" x14ac:dyDescent="0.35">
      <c r="B35" s="9" t="s">
        <v>62</v>
      </c>
      <c r="C35" s="175">
        <f>Inputs!C65</f>
        <v>270182</v>
      </c>
      <c r="D35" s="258">
        <f>Inputs!D65</f>
        <v>0.1</v>
      </c>
      <c r="E35" s="176">
        <f t="shared" si="1"/>
        <v>27018.2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659</v>
      </c>
      <c r="D36" s="258">
        <f>Inputs!D66</f>
        <v>0.2</v>
      </c>
      <c r="E36" s="176">
        <f t="shared" si="1"/>
        <v>131.80000000000001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13463</v>
      </c>
      <c r="D37" s="258">
        <f>Inputs!D67</f>
        <v>0.1</v>
      </c>
      <c r="E37" s="176">
        <f t="shared" si="1"/>
        <v>1346.3000000000002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127220</v>
      </c>
      <c r="D38" s="258">
        <f>Inputs!D68</f>
        <v>0.1</v>
      </c>
      <c r="E38" s="176">
        <f t="shared" si="1"/>
        <v>12722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177621</v>
      </c>
      <c r="D40" s="258">
        <f>Inputs!D70</f>
        <v>0.05</v>
      </c>
      <c r="E40" s="176">
        <f t="shared" si="1"/>
        <v>8881.0500000000011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31266</v>
      </c>
      <c r="D41" s="258">
        <f>Inputs!D71</f>
        <v>0.9</v>
      </c>
      <c r="E41" s="176">
        <f t="shared" si="1"/>
        <v>28139.4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511774</v>
      </c>
      <c r="D44" s="185">
        <f>IF(E44=0,0,E44/C44)</f>
        <v>0.53963351010406935</v>
      </c>
      <c r="E44" s="176">
        <f>SUM(E30:E31)</f>
        <v>276170.39999999997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271326</v>
      </c>
      <c r="D45" s="185">
        <f>IF(E45=0,0,E45/C45)</f>
        <v>0.10168653206843428</v>
      </c>
      <c r="E45" s="176">
        <f>SUM(E32:E35)</f>
        <v>27590.2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141342</v>
      </c>
      <c r="D46" s="185">
        <f>IF(E46=0,0,E46/C46)</f>
        <v>0.10046624499441072</v>
      </c>
      <c r="E46" s="176">
        <f>E36+E37+E38+E39</f>
        <v>14200.1</v>
      </c>
      <c r="F46" s="3"/>
      <c r="G46" s="3"/>
      <c r="H46" s="183" t="s">
        <v>73</v>
      </c>
      <c r="I46" s="168">
        <f>(E44+E24)/E64</f>
        <v>2.0268280291411047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208887</v>
      </c>
      <c r="D47" s="185">
        <f>IF(E47=0,0,E47/C47)</f>
        <v>0.1772271610966695</v>
      </c>
      <c r="E47" s="176">
        <f>E40+E41+E42</f>
        <v>37020.450000000004</v>
      </c>
      <c r="F47" s="3"/>
      <c r="G47" s="3"/>
      <c r="H47" s="183" t="s">
        <v>75</v>
      </c>
      <c r="I47" s="168">
        <f>(E44+E45+E24+E25)/$I$49</f>
        <v>0.92649740916971079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1133329</v>
      </c>
      <c r="D48" s="195">
        <f>E48/C48</f>
        <v>0.31321985937005048</v>
      </c>
      <c r="E48" s="196">
        <f>SUM(E30:E42)</f>
        <v>354981.14999999997</v>
      </c>
      <c r="F48" s="3"/>
      <c r="G48" s="3"/>
      <c r="H48" s="91" t="s">
        <v>77</v>
      </c>
      <c r="I48" s="197">
        <f>I49-I28</f>
        <v>339547</v>
      </c>
      <c r="J48" s="187"/>
    </row>
    <row r="49" spans="2:11" ht="15" customHeight="1" thickTop="1" x14ac:dyDescent="0.35">
      <c r="B49" s="9" t="s">
        <v>13</v>
      </c>
      <c r="C49" s="184">
        <f>Inputs!C41+Inputs!C37</f>
        <v>1654970</v>
      </c>
      <c r="D49" s="170">
        <f>E49/C49</f>
        <v>0.43947820806419452</v>
      </c>
      <c r="E49" s="176">
        <f>E28+E48</f>
        <v>727323.25</v>
      </c>
      <c r="F49" s="3"/>
      <c r="G49" s="3"/>
      <c r="H49" s="9" t="s">
        <v>78</v>
      </c>
      <c r="I49" s="175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66916</v>
      </c>
      <c r="D53" s="34">
        <f>IF(E53=0, 0,E53/C53)</f>
        <v>3.920036692121283</v>
      </c>
      <c r="E53" s="176">
        <f>IF(C53=0,0,MAX(C53,C53*Dashboard!G23))</f>
        <v>262313.17528998776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312960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747420</v>
      </c>
      <c r="D61" s="170">
        <f t="shared" ref="D61:D70" si="2">IF(E61=0,0,E61/C61)</f>
        <v>0.41802373498167028</v>
      </c>
      <c r="E61" s="182">
        <f>E14+E15+(E19*G19)+(E20*G20)+E31+E32+(E35*G35)+(E36*G36)+(E37*G37)</f>
        <v>312439.3</v>
      </c>
      <c r="F61" s="3"/>
      <c r="G61" s="3"/>
      <c r="H61" s="2" t="s">
        <v>253</v>
      </c>
      <c r="I61" s="203">
        <f>C99*Data!$C$4/Common_Shares</f>
        <v>-5.7107883162730612E-3</v>
      </c>
      <c r="K61" s="172"/>
    </row>
    <row r="62" spans="2:11" ht="11.65" x14ac:dyDescent="0.35">
      <c r="B62" s="12" t="s">
        <v>127</v>
      </c>
      <c r="C62" s="204">
        <f>C11+C30</f>
        <v>405091</v>
      </c>
      <c r="D62" s="205">
        <f t="shared" si="2"/>
        <v>0.78560348168683092</v>
      </c>
      <c r="E62" s="206">
        <f>E11+E30</f>
        <v>318240.90000000002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1152511</v>
      </c>
      <c r="D63" s="34">
        <f t="shared" si="2"/>
        <v>0.54722271631246899</v>
      </c>
      <c r="E63" s="184">
        <f>E61+E62</f>
        <v>630680.19999999995</v>
      </c>
      <c r="F63" s="3"/>
      <c r="G63" s="3"/>
      <c r="H63" s="2" t="s">
        <v>254</v>
      </c>
      <c r="I63" s="207">
        <f>IF(I61&gt;0,FV(I62,D93,0,-I61),I61)</f>
        <v>-5.7107883162730612E-3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312960</v>
      </c>
      <c r="F64" s="3"/>
      <c r="G64" s="3"/>
      <c r="H64" s="2" t="s">
        <v>255</v>
      </c>
      <c r="I64" s="207">
        <f>IF(I61&gt;0,PV(C94,D93,0,-I63),I61)</f>
        <v>-5.7107883162730612E-3</v>
      </c>
      <c r="K64" s="172"/>
    </row>
    <row r="65" spans="1:11" ht="12" thickTop="1" x14ac:dyDescent="0.35">
      <c r="B65" s="9" t="s">
        <v>130</v>
      </c>
      <c r="C65" s="202">
        <f>C63-E64</f>
        <v>839551</v>
      </c>
      <c r="D65" s="34">
        <f t="shared" si="2"/>
        <v>0.37844061885460201</v>
      </c>
      <c r="E65" s="184">
        <f>E63-E64</f>
        <v>317720.19999999995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502459</v>
      </c>
      <c r="D68" s="34">
        <f t="shared" si="2"/>
        <v>0.19234017103883111</v>
      </c>
      <c r="E68" s="202">
        <f>E49-E63</f>
        <v>96643.050000000047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414413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88046</v>
      </c>
      <c r="D70" s="34">
        <f t="shared" si="2"/>
        <v>-3.609135565499852</v>
      </c>
      <c r="E70" s="202">
        <f>E68-E69</f>
        <v>-317769.94999999995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609015</v>
      </c>
      <c r="D74" s="98"/>
      <c r="E74" s="256">
        <f>Inputs!E91</f>
        <v>609015</v>
      </c>
      <c r="F74" s="98"/>
      <c r="H74" s="256">
        <f>Inputs!F91</f>
        <v>609015</v>
      </c>
      <c r="I74" s="98"/>
      <c r="K74" s="75"/>
    </row>
    <row r="75" spans="1:11" ht="15" customHeight="1" x14ac:dyDescent="0.35">
      <c r="B75" s="100" t="s">
        <v>97</v>
      </c>
      <c r="C75" s="97">
        <f>Data!C8</f>
        <v>315906</v>
      </c>
      <c r="D75" s="101">
        <f>C75/$C$74</f>
        <v>0.51871628777616319</v>
      </c>
      <c r="E75" s="256">
        <f>Inputs!E92</f>
        <v>315906</v>
      </c>
      <c r="F75" s="211">
        <f>E75/E74</f>
        <v>0.51871628777616319</v>
      </c>
      <c r="H75" s="256">
        <f>Inputs!F92</f>
        <v>315906</v>
      </c>
      <c r="I75" s="211">
        <f>H75/$H$74</f>
        <v>0.51871628777616319</v>
      </c>
      <c r="K75" s="75"/>
    </row>
    <row r="76" spans="1:11" ht="15" customHeight="1" x14ac:dyDescent="0.35">
      <c r="B76" s="12" t="s">
        <v>87</v>
      </c>
      <c r="C76" s="145">
        <f>C74-C75</f>
        <v>293109</v>
      </c>
      <c r="D76" s="212"/>
      <c r="E76" s="213">
        <f>E74-E75</f>
        <v>293109</v>
      </c>
      <c r="F76" s="212"/>
      <c r="H76" s="213">
        <f>H74-H75</f>
        <v>293109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137736</v>
      </c>
      <c r="D77" s="101">
        <f>C77/$C$74</f>
        <v>0.22616191719415779</v>
      </c>
      <c r="E77" s="256">
        <f>Inputs!E93</f>
        <v>137736</v>
      </c>
      <c r="F77" s="211">
        <f>E77/E74</f>
        <v>0.22616191719415779</v>
      </c>
      <c r="H77" s="256">
        <f>Inputs!F93</f>
        <v>137736</v>
      </c>
      <c r="I77" s="211">
        <f>H77/$H$74</f>
        <v>0.22616191719415779</v>
      </c>
      <c r="K77" s="75"/>
    </row>
    <row r="78" spans="1:11" ht="15" customHeight="1" x14ac:dyDescent="0.35">
      <c r="B78" s="93" t="s">
        <v>150</v>
      </c>
      <c r="C78" s="97">
        <f>MAX(Data!C12,0)</f>
        <v>3776</v>
      </c>
      <c r="D78" s="101">
        <f>C78/$C$74</f>
        <v>6.2001756935379264E-3</v>
      </c>
      <c r="E78" s="214">
        <f>E74*F78</f>
        <v>3776</v>
      </c>
      <c r="F78" s="211">
        <f>I78</f>
        <v>6.2001756935379264E-3</v>
      </c>
      <c r="H78" s="256">
        <f>Inputs!F97</f>
        <v>3776</v>
      </c>
      <c r="I78" s="211">
        <f>H78/$H$74</f>
        <v>6.2001756935379264E-3</v>
      </c>
      <c r="K78" s="75"/>
    </row>
    <row r="79" spans="1:11" ht="15" customHeight="1" x14ac:dyDescent="0.35">
      <c r="B79" s="215" t="s">
        <v>203</v>
      </c>
      <c r="C79" s="216">
        <f>C76-C77-C78</f>
        <v>151597</v>
      </c>
      <c r="D79" s="217">
        <f>C79/C74</f>
        <v>0.24892161933614115</v>
      </c>
      <c r="E79" s="218">
        <f>E76-E77-E78</f>
        <v>151597</v>
      </c>
      <c r="F79" s="217">
        <f>E79/E74</f>
        <v>0.24892161933614115</v>
      </c>
      <c r="G79" s="219"/>
      <c r="H79" s="218">
        <f>H76-H77-H78</f>
        <v>151597</v>
      </c>
      <c r="I79" s="217">
        <f>H79/H74</f>
        <v>0.24892161933614115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12268</v>
      </c>
      <c r="D81" s="101">
        <f>C81/$C$74</f>
        <v>2.0144003021272054E-2</v>
      </c>
      <c r="E81" s="214">
        <f>E74*F81</f>
        <v>12268</v>
      </c>
      <c r="F81" s="211">
        <f>I81</f>
        <v>2.0144003021272054E-2</v>
      </c>
      <c r="H81" s="256">
        <f>Inputs!F94</f>
        <v>12268</v>
      </c>
      <c r="I81" s="211">
        <f>H81/$H$74</f>
        <v>2.0144003021272054E-2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139329</v>
      </c>
      <c r="D83" s="223">
        <f>C83/$C$74</f>
        <v>0.22877761631486909</v>
      </c>
      <c r="E83" s="224">
        <f>E79-E81-E82-E80</f>
        <v>139329</v>
      </c>
      <c r="F83" s="223">
        <f>E83/E74</f>
        <v>0.22877761631486909</v>
      </c>
      <c r="H83" s="224">
        <f>H79-H81-H82-H80</f>
        <v>139329</v>
      </c>
      <c r="I83" s="223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104496.75</v>
      </c>
      <c r="D85" s="217">
        <f>C85/$C$74</f>
        <v>0.17158321223615181</v>
      </c>
      <c r="E85" s="229">
        <f>E83*(1-F84)</f>
        <v>104496.75</v>
      </c>
      <c r="F85" s="217">
        <f>E85/E74</f>
        <v>0.17158321223615181</v>
      </c>
      <c r="G85" s="219"/>
      <c r="H85" s="229">
        <f>H83*(1-I84)</f>
        <v>104496.75</v>
      </c>
      <c r="I85" s="217">
        <f>H85/$H$74</f>
        <v>0.17158321223615181</v>
      </c>
      <c r="K85" s="75"/>
    </row>
    <row r="86" spans="1:11" ht="15" customHeight="1" x14ac:dyDescent="0.35">
      <c r="B86" s="3" t="s">
        <v>143</v>
      </c>
      <c r="C86" s="230">
        <f>C85*Data!C4/Common_Shares</f>
        <v>11.275726542587647</v>
      </c>
      <c r="D86" s="98"/>
      <c r="E86" s="231">
        <f>E85*Data!C4/Common_Shares</f>
        <v>11.275726542587647</v>
      </c>
      <c r="F86" s="98"/>
      <c r="H86" s="231">
        <f>H85*Data!C4/Common_Shares</f>
        <v>11.275726542587647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2.8737786632660529E-2</v>
      </c>
      <c r="D87" s="98"/>
      <c r="E87" s="233">
        <f>E86*Exchange_Rate/Dashboard!G3</f>
        <v>2.8737786632660529E-2</v>
      </c>
      <c r="F87" s="98"/>
      <c r="H87" s="233">
        <f>H86*Exchange_Rate/Dashboard!G3</f>
        <v>2.8737786632660529E-2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3.1960803661209618</v>
      </c>
      <c r="D88" s="235">
        <f>C88/C86</f>
        <v>0.2834478429438303</v>
      </c>
      <c r="E88" s="255">
        <f>Inputs!E98</f>
        <v>3.1960803661209618</v>
      </c>
      <c r="F88" s="235">
        <f>E88/E86</f>
        <v>0.2834478429438303</v>
      </c>
      <c r="H88" s="255">
        <f>Inputs!F98</f>
        <v>3.1960803661209618</v>
      </c>
      <c r="I88" s="235">
        <f>H88/H86</f>
        <v>0.2834478429438303</v>
      </c>
      <c r="K88" s="75"/>
    </row>
    <row r="89" spans="1:11" ht="15" customHeight="1" x14ac:dyDescent="0.35">
      <c r="B89" s="3" t="s">
        <v>193</v>
      </c>
      <c r="C89" s="232">
        <f>C88*Exchange_Rate/Dashboard!G3</f>
        <v>8.1456636320076676E-3</v>
      </c>
      <c r="D89" s="98"/>
      <c r="E89" s="232">
        <f>E88*Exchange_Rate/Dashboard!G3</f>
        <v>8.1456636320076676E-3</v>
      </c>
      <c r="F89" s="98"/>
      <c r="H89" s="232">
        <f>H88*Exchange_Rate/Dashboard!G3</f>
        <v>8.1456636320076676E-3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223.9098913580406</v>
      </c>
      <c r="H93" s="3" t="s">
        <v>182</v>
      </c>
      <c r="I93" s="237">
        <f>FV(H87,D93,0,-(H86/(C93-D94)))*Exchange_Rate</f>
        <v>223.9098913580406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58.535699472382952</v>
      </c>
      <c r="H94" s="3" t="s">
        <v>183</v>
      </c>
      <c r="I94" s="237">
        <f>FV(H89,D93,0,-(H88/(C93-D94)))*Exchange_Rate</f>
        <v>58.535699472382952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1186424.6638967113</v>
      </c>
      <c r="D97" s="244"/>
      <c r="E97" s="245">
        <f>PV(C94,D93,0,-F93)</f>
        <v>128.0212071043432</v>
      </c>
      <c r="F97" s="244"/>
      <c r="H97" s="245">
        <f>PV(C94,D93,0,-I93)</f>
        <v>128.0212071043432</v>
      </c>
      <c r="I97" s="245">
        <f>PV(C93,D93,0,-I93)</f>
        <v>164.58045448457042</v>
      </c>
      <c r="K97" s="75"/>
    </row>
    <row r="98" spans="2:11" ht="15" customHeight="1" x14ac:dyDescent="0.35">
      <c r="B98" s="18" t="s">
        <v>132</v>
      </c>
      <c r="C98" s="243">
        <f>-E53*Exchange_Rate</f>
        <v>-279049.55252060894</v>
      </c>
      <c r="D98" s="244"/>
      <c r="E98" s="244"/>
      <c r="F98" s="244"/>
      <c r="H98" s="245">
        <f>C98*Data!$C$4/Common_Shares</f>
        <v>-30.110854606041201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-52.92420109113057</v>
      </c>
      <c r="D99" s="248"/>
      <c r="E99" s="249">
        <f>IF(H99&gt;0,I64,H99)</f>
        <v>-5.7107883162730612E-3</v>
      </c>
      <c r="F99" s="248"/>
      <c r="H99" s="249">
        <f>I64</f>
        <v>-5.7107883162730612E-3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83.218945453487862</v>
      </c>
      <c r="E100" s="251">
        <f>MAX(E97+H98+E99,0)</f>
        <v>97.904641709985725</v>
      </c>
      <c r="F100" s="251">
        <f>(E100+H100)/2</f>
        <v>97.904641709985725</v>
      </c>
      <c r="H100" s="251">
        <f>MAX(H97+H98+H99,0)</f>
        <v>97.904641709985725</v>
      </c>
      <c r="I100" s="251">
        <f>MAX(I97+H98+H99,0)</f>
        <v>134.46388909021294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28.447779732934357</v>
      </c>
      <c r="E103" s="245">
        <f>PV(C94,D93,0,-F94)</f>
        <v>33.467976156393362</v>
      </c>
      <c r="F103" s="251">
        <f>(E103+H103)/2</f>
        <v>33.467976156393362</v>
      </c>
      <c r="H103" s="245">
        <f>PV(C94,D93,0,-I94)</f>
        <v>33.467976156393362</v>
      </c>
      <c r="I103" s="251">
        <f>PV(C93,D93,0,-I94)</f>
        <v>43.025486566523064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55.833362593211106</v>
      </c>
      <c r="E106" s="245">
        <f>(E100+E103)/2</f>
        <v>65.686308933189537</v>
      </c>
      <c r="F106" s="251">
        <f>(F100+F103)/2</f>
        <v>65.686308933189537</v>
      </c>
      <c r="H106" s="245">
        <f>(H100+H103)/2</f>
        <v>65.686308933189537</v>
      </c>
      <c r="I106" s="245">
        <f>(I100+I103)/2</f>
        <v>88.744687828368001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