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B07C9068-BB64-47D0-9D24-8A9AD5F8854C}" xr6:coauthVersionLast="47" xr6:coauthVersionMax="47" xr10:uidLastSave="{00000000-0000-0000-0000-000000000000}"/>
  <bookViews>
    <workbookView xWindow="2205" yWindow="2205" windowWidth="12690" windowHeight="7642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4" i="4"/>
  <c r="F93" i="4"/>
  <c r="F91" i="4"/>
  <c r="F92" i="4" s="1"/>
  <c r="E91" i="4"/>
  <c r="E93" i="4" s="1"/>
  <c r="D69" i="4"/>
  <c r="D68" i="4"/>
  <c r="D67" i="4"/>
  <c r="D63" i="4"/>
  <c r="D62" i="4"/>
  <c r="D61" i="4"/>
  <c r="D60" i="4"/>
  <c r="D59" i="4"/>
  <c r="D58" i="4"/>
  <c r="D71" i="4" s="1"/>
  <c r="D55" i="4"/>
  <c r="D50" i="4"/>
  <c r="D53" i="4" s="1"/>
  <c r="F96" i="4" l="1"/>
  <c r="E92" i="4"/>
  <c r="F97" i="4"/>
  <c r="E95" i="4"/>
  <c r="F95" i="4"/>
  <c r="D56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<sst xmlns="http://schemas.openxmlformats.org/spreadsheetml/2006/main" count="405" uniqueCount="290">
  <si>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</si>
  <si>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</si>
  <si>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</si>
  <si>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</si>
  <si>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</si>
  <si>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</si>
  <si>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</si>
  <si>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</si>
  <si>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</si>
  <si>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</si>
  <si>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</si>
  <si>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</si>
  <si>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</si>
  <si>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</si>
  <si>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</si>
  <si>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</si>
  <si>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</si>
  <si>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</si>
  <si>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</si>
  <si>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</si>
  <si>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</si>
  <si>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</si>
  <si>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</si>
  <si>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</si>
  <si>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</si>
  <si>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</si>
  <si>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</si>
  <si>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</si>
  <si>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</si>
  <si>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</si>
  <si>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</si>
  <si>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</si>
  <si>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</si>
  <si>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</si>
  <si>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</si>
  <si>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</si>
  <si>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</si>
  <si>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</si>
  <si>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</si>
  <si>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</si>
  <si>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</si>
  <si>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</si>
  <si>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</si>
  <si>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</si>
  <si>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</si>
  <si>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</si>
  <si>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</si>
  <si>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</si>
  <si>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</si>
  <si>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</si>
  <si>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</si>
  <si>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</si>
  <si>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</si>
  <si>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</si>
  <si>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</si>
  <si>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</si>
  <si>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</si>
  <si>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</si>
  <si>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</si>
  <si>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</si>
  <si>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</si>
  <si>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</si>
  <si>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</si>
  <si>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</si>
  <si>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</si>
  <si>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</si>
  <si>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</si>
  <si>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</si>
  <si>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</si>
  <si>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</si>
  <si>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</si>
  <si>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</si>
  <si>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</si>
  <si>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</si>
  <si>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</si>
  <si>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</si>
  <si>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</si>
  <si>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</si>
  <si>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</si>
  <si>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</si>
  <si>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</si>
  <si>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</si>
  <si>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</si>
  <si>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</si>
  <si>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</si>
  <si>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</si>
  <si>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</si>
  <si>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</si>
  <si>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</si>
  <si>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</si>
  <si>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</si>
  <si>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</si>
  <si>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</si>
  <si>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</si>
  <si>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</si>
  <si>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</si>
  <si>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</si>
  <si>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</si>
  <si>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</si>
  <si>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</si>
  <si>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</si>
  <si>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</si>
  <si>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</si>
  <si>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</si>
  <si>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</si>
  <si>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</si>
  <si>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</si>
  <si>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</si>
  <si>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</si>
  <si>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</si>
  <si>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</si>
  <si>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</si>
  <si>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</si>
  <si>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</si>
  <si>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</si>
  <si>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</si>
  <si>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</si>
  <si>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</si>
  <si>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</si>
  <si>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</si>
  <si>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</si>
  <si>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</si>
  <si>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</si>
  <si>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</si>
  <si>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</si>
  <si>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</si>
  <si>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</si>
  <si>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</si>
  <si>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</si>
  <si>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</si>
  <si>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</si>
  <si>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</si>
  <si>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</si>
  <si>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</si>
  <si>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</si>
  <si>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</si>
  <si>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</si>
  <si>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</si>
  <si>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</si>
  <si>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</si>
  <si>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</si>
  <si>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</si>
  <si>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</si>
  <si>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</si>
  <si>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</si>
  <si>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</si>
  <si>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</si>
  <si>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</si>
  <si>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</si>
  <si>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</si>
  <si>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</si>
  <si>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</si>
  <si>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</si>
  <si>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</si>
  <si>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</si>
  <si>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</si>
  <si>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</si>
  <si>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</si>
  <si>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</si>
  <si>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</si>
  <si>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</si>
  <si>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</si>
  <si>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</si>
  <si>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</si>
  <si>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</si>
  <si>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</si>
  <si>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</si>
  <si>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</si>
  <si>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</si>
  <si>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</si>
  <si>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</si>
  <si>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</si>
  <si>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</si>
  <si>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</si>
  <si>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</si>
  <si>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</si>
  <si>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</si>
  <si>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</si>
  <si>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</si>
  <si>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</si>
  <si>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</si>
  <si>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</si>
  <si>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</si>
  <si>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</si>
  <si>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</si>
  <si>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</si>
  <si>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</si>
  <si>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</si>
  <si>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</si>
  <si>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</si>
  <si>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</si>
  <si>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</si>
  <si>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</si>
  <si>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</si>
  <si>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</si>
  <si>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</si>
  <si>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</si>
  <si>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</si>
  <si>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</si>
  <si>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</si>
  <si>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</si>
  <si>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</si>
  <si>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</si>
  <si>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</si>
  <si>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</si>
  <si>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</si>
  <si>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</si>
  <si>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</si>
  <si>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</si>
  <si>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</si>
  <si>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</si>
  <si>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</si>
  <si>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</si>
  <si>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</si>
  <si>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</si>
  <si>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</si>
  <si>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</si>
  <si>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</si>
  <si>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</si>
  <si>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</si>
  <si>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</si>
  <si>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</si>
  <si>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</si>
  <si>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</si>
  <si>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</si>
  <si>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</si>
  <si>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</si>
  <si>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</si>
  <si>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</si>
  <si>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</si>
  <si>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</si>
  <si>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</si>
  <si>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</si>
  <si>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</si>
  <si>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</si>
  <si>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</si>
  <si>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</si>
  <si>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</si>
  <si>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</si>
  <si>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</si>
  <si>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</si>
  <si>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</si>
  <si>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</si>
  <si>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</si>
  <si>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</si>
  <si>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</si>
  <si>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</si>
  <si>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</si>
  <si>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</si>
  <si>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</si>
  <si>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</si>
  <si>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</si>
  <si>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</si>
  <si>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</si>
  <si>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</si>
  <si>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</si>
  <si>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</si>
  <si>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</si>
  <si>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</si>
  <si>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</si>
  <si>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</si>
  <si>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</si>
  <si>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</si>
  <si>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</si>
  <si>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</si>
  <si>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</si>
  <si>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</si>
  <si>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</si>
  <si>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</si>
  <si>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</si>
  <si>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</si>
  <si>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</si>
  <si>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</si>
  <si>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</si>
  <si>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</si>
  <si>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</si>
  <si>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</si>
  <si>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</si>
  <si>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</si>
  <si>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</si>
  <si>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</si>
  <si>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</si>
  <si>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</si>
  <si>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0710.HK</t>
  </si>
  <si>
    <t>京东方精电</t>
  </si>
  <si>
    <t>C0006</t>
  </si>
  <si>
    <t>CNY</t>
  </si>
  <si>
    <t>Strongly agree</t>
  </si>
  <si>
    <t>agree</t>
  </si>
  <si>
    <t>Consumer 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</si>
</sst>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283</v>
      </c>
      <c r="D4" s="66"/>
    </row>
    <row r="5" spans="1:5" x14ac:dyDescent="0.35">
      <c r="B5" s="46" t="s">
        <v>168</v>
      </c>
      <c r="C5" s="67" t="s">
        <v>284</v>
      </c>
    </row>
    <row r="6" spans="1:5" x14ac:dyDescent="0.35">
      <c r="B6" s="46" t="s">
        <v>268</v>
      </c>
      <c r="C6" s="68">
        <v>45593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63</v>
      </c>
    </row>
    <row r="9" spans="1:5" x14ac:dyDescent="0.35">
      <c r="B9" s="39" t="s">
        <v>189</v>
      </c>
      <c r="C9" s="119" t="s">
        <v>285</v>
      </c>
    </row>
    <row r="10" spans="1:5" x14ac:dyDescent="0.35">
      <c r="B10" s="39" t="s">
        <v>190</v>
      </c>
      <c r="C10" s="70">
        <v>791575204</v>
      </c>
    </row>
    <row r="11" spans="1:5" x14ac:dyDescent="0.35">
      <c r="B11" s="39" t="s">
        <v>191</v>
      </c>
      <c r="C11" s="69" t="s">
        <v>286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282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287</v>
      </c>
      <c r="D17" s="75"/>
    </row>
    <row r="18" spans="2:13" x14ac:dyDescent="0.35">
      <c r="B18" s="56" t="s">
        <v>209</v>
      </c>
      <c r="C18" s="121" t="s">
        <v>214</v>
      </c>
      <c r="D18" s="75"/>
    </row>
    <row r="19" spans="2:13" x14ac:dyDescent="0.35">
      <c r="B19" s="56" t="s">
        <v>210</v>
      </c>
      <c r="C19" s="121" t="s">
        <v>288</v>
      </c>
      <c r="D19" s="75"/>
    </row>
    <row r="20" spans="2:13" x14ac:dyDescent="0.35">
      <c r="B20" s="57" t="s">
        <v>199</v>
      </c>
      <c r="C20" s="121" t="s">
        <v>288</v>
      </c>
      <c r="D20" s="75"/>
    </row>
    <row r="21" spans="2:13" x14ac:dyDescent="0.35">
      <c r="B21" s="2" t="s">
        <v>202</v>
      </c>
      <c r="C21" s="121" t="s">
        <v>287</v>
      </c>
      <c r="D21" s="75"/>
    </row>
    <row r="22" spans="2:13" ht="69.75" x14ac:dyDescent="0.35">
      <c r="B22" s="59" t="s">
        <v>201</v>
      </c>
      <c r="C22" s="122" t="s">
        <v>289</v>
      </c>
      <c r="D22" s="75"/>
    </row>
    <row r="24" spans="2:13" x14ac:dyDescent="0.35">
      <c r="B24" s="76" t="s">
        <v>278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10760416</v>
      </c>
      <c r="D25" s="77">
        <v>10722361</v>
      </c>
      <c r="E25" s="77">
        <v>7737943</v>
      </c>
      <c r="F25" s="77">
        <v>4526914</v>
      </c>
      <c r="G25" s="77">
        <v>3573978</v>
      </c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9307367</v>
      </c>
      <c r="D26" s="78">
        <v>9290616</v>
      </c>
      <c r="E26" s="78">
        <v>7340712</v>
      </c>
      <c r="F26" s="78">
        <v>4204600</v>
      </c>
      <c r="G26" s="78">
        <v>3214958</v>
      </c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1606631</v>
      </c>
      <c r="D27" s="78">
        <v>1290315</v>
      </c>
      <c r="E27" s="78">
        <v>359473</v>
      </c>
      <c r="F27" s="78">
        <v>228660</v>
      </c>
      <c r="G27" s="78">
        <v>271638</v>
      </c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25220</v>
      </c>
      <c r="D29" s="78">
        <v>12361</v>
      </c>
      <c r="E29" s="78">
        <v>915</v>
      </c>
      <c r="F29" s="78">
        <v>578</v>
      </c>
      <c r="G29" s="78">
        <v>538</v>
      </c>
      <c r="H29" s="78"/>
      <c r="I29" s="78"/>
      <c r="J29" s="78"/>
      <c r="K29" s="78"/>
      <c r="L29" s="78"/>
      <c r="M29" s="78"/>
    </row>
    <row r="30" spans="2:13" x14ac:dyDescent="0.35">
      <c r="B30" s="303" t="s">
        <v>276</v>
      </c>
      <c r="C30" s="302"/>
      <c r="D30" s="302">
        <v>22881</v>
      </c>
      <c r="E30" s="302">
        <v>313201</v>
      </c>
      <c r="F30" s="302">
        <v>57218</v>
      </c>
      <c r="G30" s="302">
        <v>0</v>
      </c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5821</v>
      </c>
      <c r="D31" s="78">
        <v>22881</v>
      </c>
      <c r="E31" s="78">
        <v>313201</v>
      </c>
      <c r="F31" s="78">
        <v>57218</v>
      </c>
      <c r="G31" s="78">
        <v>0</v>
      </c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>
        <v>-563737</v>
      </c>
      <c r="D32" s="78">
        <v>193859</v>
      </c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>
        <v>202110</v>
      </c>
      <c r="D33" s="78">
        <v>165770</v>
      </c>
      <c r="E33" s="78">
        <v>247000</v>
      </c>
      <c r="F33" s="78">
        <v>56000</v>
      </c>
      <c r="G33" s="78">
        <v>69000</v>
      </c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>
        <v>506463</v>
      </c>
      <c r="D34" s="78">
        <v>1177151</v>
      </c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>
        <v>6391606</v>
      </c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>
        <v>4416822</v>
      </c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>
        <v>59393</v>
      </c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v>0.15820000000000001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2.500648446576674E-2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>
        <v>3496104</v>
      </c>
      <c r="D48" s="109">
        <v>0.9</v>
      </c>
      <c r="E48" s="260"/>
    </row>
    <row r="49" spans="2:5" x14ac:dyDescent="0.35">
      <c r="B49" s="2" t="s">
        <v>123</v>
      </c>
      <c r="C49" s="86">
        <v>41635</v>
      </c>
      <c r="D49" s="109">
        <v>0.8</v>
      </c>
      <c r="E49" s="260"/>
    </row>
    <row r="50" spans="2:5" x14ac:dyDescent="0.35">
      <c r="B50" s="9" t="s">
        <v>105</v>
      </c>
      <c r="C50" s="86">
        <v>2820142</v>
      </c>
      <c r="D50" s="109">
        <f>D51</f>
        <v>0.6</v>
      </c>
      <c r="E50" s="260"/>
    </row>
    <row r="51" spans="2:5" x14ac:dyDescent="0.35">
      <c r="B51" s="9" t="s">
        <v>34</v>
      </c>
      <c r="C51" s="86">
        <v>405832</v>
      </c>
      <c r="D51" s="109">
        <v>0.6</v>
      </c>
      <c r="E51" s="260"/>
    </row>
    <row r="52" spans="2:5" x14ac:dyDescent="0.35">
      <c r="B52" s="9" t="s">
        <v>36</v>
      </c>
      <c r="C52" s="86">
        <v>0</v>
      </c>
      <c r="D52" s="109">
        <v>0.5</v>
      </c>
      <c r="E52" s="260"/>
    </row>
    <row r="53" spans="2:5" x14ac:dyDescent="0.35">
      <c r="B53" s="2" t="s">
        <v>141</v>
      </c>
      <c r="C53" s="86">
        <v>0</v>
      </c>
      <c r="D53" s="109">
        <f>D50</f>
        <v>0.6</v>
      </c>
      <c r="E53" s="260"/>
    </row>
    <row r="54" spans="2:5" x14ac:dyDescent="0.35">
      <c r="B54" s="9" t="s">
        <v>226</v>
      </c>
      <c r="C54" s="86">
        <v>0</v>
      </c>
      <c r="D54" s="109">
        <v>0.1</v>
      </c>
      <c r="E54" s="260"/>
    </row>
    <row r="55" spans="2:5" x14ac:dyDescent="0.35">
      <c r="B55" s="9" t="s">
        <v>39</v>
      </c>
      <c r="C55" s="86">
        <v>1802858</v>
      </c>
      <c r="D55" s="109">
        <f>D52</f>
        <v>0.5</v>
      </c>
      <c r="E55" s="260"/>
    </row>
    <row r="56" spans="2:5" x14ac:dyDescent="0.35">
      <c r="B56" s="2" t="s">
        <v>40</v>
      </c>
      <c r="C56" s="86">
        <v>0</v>
      </c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>
        <v>0</v>
      </c>
      <c r="D57" s="109">
        <v>0.6</v>
      </c>
      <c r="E57" s="261" t="s">
        <v>38</v>
      </c>
    </row>
    <row r="58" spans="2:5" x14ac:dyDescent="0.35">
      <c r="B58" s="9" t="s">
        <v>42</v>
      </c>
      <c r="C58" s="86">
        <v>5684</v>
      </c>
      <c r="D58" s="109">
        <f>D48</f>
        <v>0.9</v>
      </c>
      <c r="E58" s="260"/>
    </row>
    <row r="59" spans="2:5" x14ac:dyDescent="0.35">
      <c r="B59" s="12" t="s">
        <v>43</v>
      </c>
      <c r="C59" s="88">
        <v>0</v>
      </c>
      <c r="D59" s="110">
        <f>D70</f>
        <v>0.05</v>
      </c>
      <c r="E59" s="260"/>
    </row>
    <row r="60" spans="2:5" x14ac:dyDescent="0.35">
      <c r="B60" s="9" t="s">
        <v>53</v>
      </c>
      <c r="C60" s="86">
        <v>0</v>
      </c>
      <c r="D60" s="109">
        <f>D49</f>
        <v>0.8</v>
      </c>
      <c r="E60" s="260"/>
    </row>
    <row r="61" spans="2:5" x14ac:dyDescent="0.35">
      <c r="B61" s="9" t="s">
        <v>55</v>
      </c>
      <c r="C61" s="86">
        <v>41883</v>
      </c>
      <c r="D61" s="109">
        <f>D51</f>
        <v>0.6</v>
      </c>
      <c r="E61" s="260"/>
    </row>
    <row r="62" spans="2:5" x14ac:dyDescent="0.35">
      <c r="B62" s="9" t="s">
        <v>57</v>
      </c>
      <c r="C62" s="86">
        <v>0</v>
      </c>
      <c r="D62" s="109">
        <f>D52</f>
        <v>0.5</v>
      </c>
      <c r="E62" s="260"/>
    </row>
    <row r="63" spans="2:5" x14ac:dyDescent="0.35">
      <c r="B63" s="2" t="s">
        <v>142</v>
      </c>
      <c r="C63" s="86">
        <v>0</v>
      </c>
      <c r="D63" s="109">
        <f>D62</f>
        <v>0.5</v>
      </c>
      <c r="E63" s="260"/>
    </row>
    <row r="64" spans="2:5" x14ac:dyDescent="0.35">
      <c r="B64" s="9" t="s">
        <v>225</v>
      </c>
      <c r="C64" s="86">
        <v>0</v>
      </c>
      <c r="D64" s="109">
        <v>0.4</v>
      </c>
      <c r="E64" s="260"/>
    </row>
    <row r="65" spans="2:5" x14ac:dyDescent="0.35">
      <c r="B65" s="9" t="s">
        <v>62</v>
      </c>
      <c r="C65" s="86">
        <v>0</v>
      </c>
      <c r="D65" s="109">
        <v>0.1</v>
      </c>
      <c r="E65" s="261" t="s">
        <v>63</v>
      </c>
    </row>
    <row r="66" spans="2:5" x14ac:dyDescent="0.35">
      <c r="B66" s="9" t="s">
        <v>64</v>
      </c>
      <c r="C66" s="86">
        <v>0</v>
      </c>
      <c r="D66" s="109">
        <v>0.2</v>
      </c>
      <c r="E66" s="261" t="s">
        <v>63</v>
      </c>
    </row>
    <row r="67" spans="2:5" x14ac:dyDescent="0.35">
      <c r="B67" s="2" t="s">
        <v>41</v>
      </c>
      <c r="C67" s="86">
        <v>0</v>
      </c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>
        <v>2128034</v>
      </c>
      <c r="D68" s="109">
        <f>D65</f>
        <v>0.1</v>
      </c>
      <c r="E68" s="260"/>
    </row>
    <row r="69" spans="2:5" x14ac:dyDescent="0.35">
      <c r="B69" s="9" t="s">
        <v>65</v>
      </c>
      <c r="C69" s="86">
        <v>0</v>
      </c>
      <c r="D69" s="109">
        <f>D70</f>
        <v>0.05</v>
      </c>
      <c r="E69" s="260"/>
    </row>
    <row r="70" spans="2:5" x14ac:dyDescent="0.35">
      <c r="B70" s="9" t="s">
        <v>66</v>
      </c>
      <c r="C70" s="86">
        <v>27391</v>
      </c>
      <c r="D70" s="109">
        <v>0.05</v>
      </c>
      <c r="E70" s="260"/>
    </row>
    <row r="71" spans="2:5" x14ac:dyDescent="0.35">
      <c r="B71" s="9" t="s">
        <v>67</v>
      </c>
      <c r="C71" s="86">
        <v>38865</v>
      </c>
      <c r="D71" s="109">
        <f>D58</f>
        <v>0.9</v>
      </c>
      <c r="E71" s="260"/>
    </row>
    <row r="72" spans="2:5" ht="12" thickBot="1" x14ac:dyDescent="0.4">
      <c r="B72" s="89" t="s">
        <v>68</v>
      </c>
      <c r="C72" s="90">
        <v>0</v>
      </c>
      <c r="D72" s="111">
        <v>0</v>
      </c>
      <c r="E72" s="262"/>
    </row>
    <row r="73" spans="2:5" x14ac:dyDescent="0.35">
      <c r="B73" s="9" t="s">
        <v>31</v>
      </c>
      <c r="C73" s="86">
        <v>174488</v>
      </c>
    </row>
    <row r="74" spans="2:5" x14ac:dyDescent="0.35">
      <c r="B74" s="9" t="s">
        <v>32</v>
      </c>
      <c r="C74" s="86">
        <v>11884</v>
      </c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>
        <v>5753095</v>
      </c>
    </row>
    <row r="78" spans="2:5" ht="12" thickTop="1" x14ac:dyDescent="0.35">
      <c r="B78" s="9" t="s">
        <v>54</v>
      </c>
      <c r="C78" s="86">
        <v>432202</v>
      </c>
    </row>
    <row r="79" spans="2:5" x14ac:dyDescent="0.35">
      <c r="B79" s="9" t="s">
        <v>56</v>
      </c>
      <c r="C79" s="86">
        <v>17265</v>
      </c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277</v>
      </c>
      <c r="C82" s="79">
        <v>638511</v>
      </c>
    </row>
    <row r="83" spans="2:8" hidden="1" x14ac:dyDescent="0.35">
      <c r="B83" s="300" t="s">
        <v>246</v>
      </c>
      <c r="C83" s="79">
        <v>4357429</v>
      </c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274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10760416</v>
      </c>
      <c r="D91" s="98"/>
      <c r="E91" s="99">
        <f>C91</f>
        <v>10760416</v>
      </c>
      <c r="F91" s="99">
        <f>C91</f>
        <v>10760416</v>
      </c>
    </row>
    <row r="92" spans="2:8" x14ac:dyDescent="0.35">
      <c r="B92" s="100" t="s">
        <v>97</v>
      </c>
      <c r="C92" s="97">
        <f>C26</f>
        <v>9307367</v>
      </c>
      <c r="D92" s="101">
        <f>C92/C91</f>
        <v>0.8649634921177769</v>
      </c>
      <c r="E92" s="102">
        <f>E91*D92</f>
        <v>9307367</v>
      </c>
      <c r="F92" s="102">
        <f>F91*D92</f>
        <v>9307367</v>
      </c>
    </row>
    <row r="93" spans="2:8" x14ac:dyDescent="0.35">
      <c r="B93" s="100" t="s">
        <v>216</v>
      </c>
      <c r="C93" s="97">
        <f>C27+C28</f>
        <v>1606631</v>
      </c>
      <c r="D93" s="101">
        <f>C93/C91</f>
        <v>0.14930937614307849</v>
      </c>
      <c r="E93" s="102">
        <f>E91*D93</f>
        <v>1606631</v>
      </c>
      <c r="F93" s="102">
        <f>F91*D93</f>
        <v>1606631</v>
      </c>
    </row>
    <row r="94" spans="2:8" x14ac:dyDescent="0.35">
      <c r="B94" s="100" t="s">
        <v>222</v>
      </c>
      <c r="C94" s="97">
        <f>C29</f>
        <v>25220</v>
      </c>
      <c r="D94" s="101">
        <f>C94/C91</f>
        <v>2.3437755566327548E-3</v>
      </c>
      <c r="E94" s="103"/>
      <c r="F94" s="102">
        <f>F91*D94</f>
        <v>25220</v>
      </c>
    </row>
    <row r="95" spans="2:8" x14ac:dyDescent="0.35">
      <c r="B95" s="18" t="s">
        <v>215</v>
      </c>
      <c r="C95" s="97">
        <f>ABS(MAX(C34,0)-C33)</f>
        <v>304353</v>
      </c>
      <c r="D95" s="101">
        <f>C95/C91</f>
        <v>2.8284501268352451E-2</v>
      </c>
      <c r="E95" s="102">
        <f>E91*D95</f>
        <v>304353</v>
      </c>
      <c r="F95" s="102">
        <f>F91*D95</f>
        <v>304353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7761.333333333333</v>
      </c>
      <c r="D97" s="101">
        <f>C97/C91</f>
        <v>7.2128562067984476E-4</v>
      </c>
      <c r="E97" s="103"/>
      <c r="F97" s="102">
        <f>F91*D97</f>
        <v>7761.3333333333321</v>
      </c>
    </row>
    <row r="98" spans="2:6" x14ac:dyDescent="0.35">
      <c r="B98" s="8" t="s">
        <v>180</v>
      </c>
      <c r="C98" s="104">
        <f>C44</f>
        <v>0.15820000000000001</v>
      </c>
      <c r="D98" s="105"/>
      <c r="E98" s="106">
        <f>F98</f>
        <v>0.15820000000000001</v>
      </c>
      <c r="F98" s="106">
        <f>C98</f>
        <v>0.15820000000000001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0710.HK : 京东方精电</v>
      </c>
      <c r="D2" s="3"/>
      <c r="E2" s="7"/>
      <c r="F2" s="7"/>
      <c r="G2" s="318" t="str">
        <f>IF(Inputs!D4="","",Inputs!D4)</f>
        <v/>
      </c>
      <c r="H2" s="318"/>
    </row>
    <row r="3" spans="1:10" ht="15.75" customHeight="1" x14ac:dyDescent="0.35">
      <c r="B3" s="9" t="s">
        <v>167</v>
      </c>
      <c r="C3" s="316" t="str">
        <f>Inputs!C4</f>
        <v>0710.HK</v>
      </c>
      <c r="D3" s="317"/>
      <c r="E3" s="3"/>
      <c r="F3" s="9" t="s">
        <v>1</v>
      </c>
      <c r="G3" s="10">
        <v>6.73</v>
      </c>
      <c r="H3" s="11" t="s">
        <v>256</v>
      </c>
    </row>
    <row r="4" spans="1:10" ht="15.75" customHeight="1" x14ac:dyDescent="0.35">
      <c r="B4" s="12" t="s">
        <v>168</v>
      </c>
      <c r="C4" s="318" t="str">
        <f>Inputs!C5</f>
        <v>京东方精电</v>
      </c>
      <c r="D4" s="319"/>
      <c r="E4" s="3"/>
      <c r="F4" s="9" t="s">
        <v>2</v>
      </c>
      <c r="G4" s="322">
        <f>Inputs!C10</f>
        <v>791575204</v>
      </c>
      <c r="H4" s="322"/>
      <c r="I4" s="14"/>
    </row>
    <row r="5" spans="1:10" ht="15.75" customHeight="1" x14ac:dyDescent="0.35">
      <c r="B5" s="9" t="s">
        <v>145</v>
      </c>
      <c r="C5" s="320">
        <f>Inputs!C6</f>
        <v>45593</v>
      </c>
      <c r="D5" s="321"/>
      <c r="E5" s="16"/>
      <c r="F5" s="12" t="s">
        <v>91</v>
      </c>
      <c r="G5" s="314">
        <f>G3*G4/1000000</f>
        <v>5327.3011229200001</v>
      </c>
      <c r="H5" s="314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CNY</v>
      </c>
      <c r="H6" s="315"/>
      <c r="I6" s="17"/>
    </row>
    <row r="7" spans="1:10" ht="15.75" customHeight="1" x14ac:dyDescent="0.35">
      <c r="B7" s="8" t="s">
        <v>165</v>
      </c>
      <c r="C7" s="123" t="str">
        <f>Inputs!C8</f>
        <v>N</v>
      </c>
      <c r="D7" s="123" t="str">
        <f>Inputs!C9</f>
        <v>C0006</v>
      </c>
      <c r="E7" s="3"/>
      <c r="F7" s="12" t="s">
        <v>5</v>
      </c>
      <c r="G7" s="21">
        <v>1.0638030370076497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>
        <f>C21*C22*C23</f>
        <v>-3.702718583213481E-2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-1.4994153881535188E-2</v>
      </c>
      <c r="F21" s="3"/>
      <c r="G21" s="34"/>
    </row>
    <row r="22" spans="1:8" ht="15.75" customHeight="1" x14ac:dyDescent="0.35">
      <c r="B22" s="35" t="s">
        <v>244</v>
      </c>
      <c r="C22" s="36">
        <f>Data!C50</f>
        <v>0.99555791091914569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>
        <f>1/Data!C55</f>
        <v>2.480459922582789</v>
      </c>
      <c r="F23" s="39" t="s">
        <v>163</v>
      </c>
      <c r="G23" s="40">
        <f>G3/(Data!C36*Data!C4/Common_Shares*Exchange_Rate)</f>
        <v>1.1337991382637431</v>
      </c>
    </row>
    <row r="24" spans="1:8" ht="15.75" customHeight="1" x14ac:dyDescent="0.35">
      <c r="B24" s="41" t="s">
        <v>239</v>
      </c>
      <c r="C24" s="42">
        <f>Fin_Analysis!I81</f>
        <v>2.3437755566327548E-3</v>
      </c>
      <c r="F24" s="39" t="s">
        <v>224</v>
      </c>
      <c r="G24" s="43">
        <f>G3/(Fin_Analysis!H86*G7)</f>
        <v>-13.601201501313104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-0.3401182340583494</v>
      </c>
    </row>
    <row r="26" spans="1:8" ht="15.75" customHeight="1" x14ac:dyDescent="0.35">
      <c r="B26" s="45" t="s">
        <v>241</v>
      </c>
      <c r="C26" s="44">
        <f>Fin_Analysis!I80+Fin_Analysis!I82</f>
        <v>2.8284501268352451E-2</v>
      </c>
      <c r="F26" s="46" t="s">
        <v>166</v>
      </c>
      <c r="G26" s="47">
        <f>Fin_Analysis!H88*Exchange_Rate/G3</f>
        <v>2.500648446576674E-2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2" t="s">
        <v>223</v>
      </c>
      <c r="H28" s="312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0</v>
      </c>
      <c r="D29" s="54">
        <f>G29*(1+G20)</f>
        <v>0</v>
      </c>
      <c r="E29" s="3"/>
      <c r="F29" s="55">
        <f>IF(Fin_Analysis!C108="Profit",Fin_Analysis!F100,IF(Fin_Analysis!C108="Dividend",Fin_Analysis!F103,Fin_Analysis!F106))</f>
        <v>0</v>
      </c>
      <c r="G29" s="313">
        <f>IF(Fin_Analysis!C108="Profit",Fin_Analysis!I100,IF(Fin_Analysis!C108="Dividend",Fin_Analysis!I103,Fin_Analysis!I106))</f>
        <v>0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Strongly agree</v>
      </c>
    </row>
    <row r="34" spans="1:4" ht="15.75" customHeight="1" x14ac:dyDescent="0.35">
      <c r="B34" s="57" t="s">
        <v>197</v>
      </c>
      <c r="C34" s="58" t="str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Strongly agree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unclear</v>
      </c>
    </row>
    <row r="37" spans="1:4" ht="15.75" customHeight="1" x14ac:dyDescent="0.35">
      <c r="B37" s="56" t="s">
        <v>210</v>
      </c>
      <c r="C37" s="112" t="str">
        <f>Inputs!C19</f>
        <v>agree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agree</v>
      </c>
    </row>
    <row r="40" spans="1:4" ht="15.75" customHeight="1" x14ac:dyDescent="0.35">
      <c r="B40" s="2" t="s">
        <v>202</v>
      </c>
      <c r="C40" s="112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:H2"/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-161343.33333333334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10760416</v>
      </c>
      <c r="D6" s="142">
        <f>IF(Inputs!D25="","",Inputs!D25)</f>
        <v>10722361</v>
      </c>
      <c r="E6" s="142">
        <f>IF(Inputs!E25="","",Inputs!E25)</f>
        <v>7737943</v>
      </c>
      <c r="F6" s="142">
        <f>IF(Inputs!F25="","",Inputs!F25)</f>
        <v>4526914</v>
      </c>
      <c r="G6" s="142">
        <f>IF(Inputs!G25="","",Inputs!G25)</f>
        <v>3573978</v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3.5491250481121117E-3</v>
      </c>
      <c r="D7" s="143">
        <f t="shared" si="1"/>
        <v>0.38568622177754475</v>
      </c>
      <c r="E7" s="143">
        <f t="shared" si="1"/>
        <v>0.70931963805806775</v>
      </c>
      <c r="F7" s="143">
        <f t="shared" si="1"/>
        <v>0.266631747593298</v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9307367</v>
      </c>
      <c r="D8" s="144">
        <f>IF(Inputs!D26="","",Inputs!D26)</f>
        <v>9290616</v>
      </c>
      <c r="E8" s="144">
        <f>IF(Inputs!E26="","",Inputs!E26)</f>
        <v>7340712</v>
      </c>
      <c r="F8" s="144">
        <f>IF(Inputs!F26="","",Inputs!F26)</f>
        <v>4204600</v>
      </c>
      <c r="G8" s="144">
        <f>IF(Inputs!G26="","",Inputs!G26)</f>
        <v>3214958</v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1453049</v>
      </c>
      <c r="D9" s="273">
        <f t="shared" si="2"/>
        <v>1431745</v>
      </c>
      <c r="E9" s="273">
        <f t="shared" si="2"/>
        <v>397231</v>
      </c>
      <c r="F9" s="273">
        <f t="shared" si="2"/>
        <v>322314</v>
      </c>
      <c r="G9" s="273">
        <f t="shared" si="2"/>
        <v>359020</v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1606631</v>
      </c>
      <c r="D10" s="144">
        <f>IF(Inputs!D27="","",Inputs!D27)</f>
        <v>1290315</v>
      </c>
      <c r="E10" s="144">
        <f>IF(Inputs!E27="","",Inputs!E27)</f>
        <v>359473</v>
      </c>
      <c r="F10" s="144">
        <f>IF(Inputs!F27="","",Inputs!F27)</f>
        <v>228660</v>
      </c>
      <c r="G10" s="144">
        <f>IF(Inputs!G27="","",Inputs!G27)</f>
        <v>271638</v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7761.333333333333</v>
      </c>
      <c r="D12" s="144">
        <f>IF(Inputs!D31="","",MAX(Inputs!D31,0)/(1-Fin_Analysis!$I$84))</f>
        <v>30508</v>
      </c>
      <c r="E12" s="144">
        <f>IF(Inputs!E31="","",MAX(Inputs!E31,0)/(1-Fin_Analysis!$I$84))</f>
        <v>417601.33333333331</v>
      </c>
      <c r="F12" s="144">
        <f>IF(Inputs!F31="","",MAX(Inputs!F31,0)/(1-Fin_Analysis!$I$84))</f>
        <v>76290.666666666672</v>
      </c>
      <c r="G12" s="144">
        <f>IF(Inputs!G31="","",MAX(Inputs!G31,0)/(1-Fin_Analysis!$I$84))</f>
        <v>0</v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-1.4994153881535188E-2</v>
      </c>
      <c r="D13" s="292">
        <f t="shared" si="3"/>
        <v>1.0344923100425363E-2</v>
      </c>
      <c r="E13" s="292">
        <f t="shared" si="3"/>
        <v>-4.9088411911710039E-2</v>
      </c>
      <c r="F13" s="292">
        <f t="shared" si="3"/>
        <v>3.8355783505790763E-3</v>
      </c>
      <c r="G13" s="292">
        <f t="shared" si="3"/>
        <v>2.4449506963948854E-2</v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-161343.33333333334</v>
      </c>
      <c r="D14" s="294">
        <f t="shared" ref="D14:M14" si="4">IF(D6="","",D9-D10-MAX(D11,0)-MAX(D12,0))</f>
        <v>110922</v>
      </c>
      <c r="E14" s="294">
        <f t="shared" si="4"/>
        <v>-379843.33333333331</v>
      </c>
      <c r="F14" s="294">
        <f t="shared" si="4"/>
        <v>17363.333333333328</v>
      </c>
      <c r="G14" s="294">
        <f t="shared" si="4"/>
        <v>87382</v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 t="str">
        <f>IF(D14="","",IF(ABS(C14+D14)=ABS(C14)+ABS(D14),IF(C14&lt;0,-1,1)*(C14-D14)/D14,"Turn"))</f>
        <v>Turn</v>
      </c>
      <c r="D15" s="296" t="str">
        <f t="shared" ref="D15:M15" si="5">IF(E14="","",IF(ABS(D14+E14)=ABS(D14)+ABS(E14),IF(D14&lt;0,-1,1)*(D14-E14)/E14,"Turn"))</f>
        <v>Turn</v>
      </c>
      <c r="E15" s="296" t="str">
        <f t="shared" si="5"/>
        <v>Turn</v>
      </c>
      <c r="F15" s="296">
        <f t="shared" si="5"/>
        <v>-0.80129393544055605</v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279</v>
      </c>
      <c r="C16" s="147" t="str">
        <f>IF(C17="","",C17-C14)</f>
        <v/>
      </c>
      <c r="D16" s="147">
        <f t="shared" ref="D16:M16" si="6">IF(D17="","",D17-D14)</f>
        <v>-88041</v>
      </c>
      <c r="E16" s="147">
        <f t="shared" si="6"/>
        <v>693044.33333333326</v>
      </c>
      <c r="F16" s="147">
        <f t="shared" si="6"/>
        <v>39854.666666666672</v>
      </c>
      <c r="G16" s="147">
        <f t="shared" si="6"/>
        <v>-87382</v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276</v>
      </c>
      <c r="C17" s="307" t="str">
        <f>IF(Inputs!C30="","",Inputs!C30)</f>
        <v/>
      </c>
      <c r="D17" s="307">
        <f>IF(Inputs!D30="","",Inputs!D30)</f>
        <v>22881</v>
      </c>
      <c r="E17" s="307">
        <f>IF(Inputs!E30="","",Inputs!E30)</f>
        <v>313201</v>
      </c>
      <c r="F17" s="307">
        <f>IF(Inputs!F30="","",Inputs!F30)</f>
        <v>57218</v>
      </c>
      <c r="G17" s="307">
        <f>IF(Inputs!G30="","",Inputs!G30)</f>
        <v>0</v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>
        <f>IF(Inputs!C32="","",Inputs!C32)</f>
        <v>-563737</v>
      </c>
      <c r="D18" s="144">
        <f>IF(Inputs!D32="","",Inputs!D32)</f>
        <v>193859</v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25220</v>
      </c>
      <c r="D19" s="144">
        <f>IF(Inputs!D29="","",Inputs!D29)</f>
        <v>12361</v>
      </c>
      <c r="E19" s="144">
        <f>IF(Inputs!E29="","",Inputs!E29)</f>
        <v>915</v>
      </c>
      <c r="F19" s="144">
        <f>IF(Inputs!F29="","",Inputs!F29)</f>
        <v>578</v>
      </c>
      <c r="G19" s="144">
        <f>IF(Inputs!G29="","",Inputs!G29)</f>
        <v>538</v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>
        <f t="shared" ref="C20:M20" si="7">IF(OR(C6="",C21=""),"",C21/C6)</f>
        <v>1.8782731076568044E-2</v>
      </c>
      <c r="D20" s="227">
        <f t="shared" si="7"/>
        <v>1.5460214406136857E-2</v>
      </c>
      <c r="E20" s="227">
        <f t="shared" si="7"/>
        <v>3.1920628001524433E-2</v>
      </c>
      <c r="F20" s="227">
        <f t="shared" si="7"/>
        <v>1.237045810898992E-2</v>
      </c>
      <c r="G20" s="227">
        <f t="shared" si="7"/>
        <v>1.9306218449022351E-2</v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>
        <f>IF(Inputs!C33="","",Inputs!C33)</f>
        <v>202110</v>
      </c>
      <c r="D21" s="144">
        <f>IF(Inputs!D33="","",Inputs!D33)</f>
        <v>165770</v>
      </c>
      <c r="E21" s="144">
        <f>IF(Inputs!E33="","",Inputs!E33)</f>
        <v>247000</v>
      </c>
      <c r="F21" s="144">
        <f>IF(Inputs!F33="","",Inputs!F33)</f>
        <v>56000</v>
      </c>
      <c r="G21" s="144">
        <f>IF(Inputs!G33="","",Inputs!G33)</f>
        <v>69000</v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4.7067232344920495E-2</v>
      </c>
      <c r="D22" s="227">
        <f t="shared" si="8"/>
        <v>0.10978468268322621</v>
      </c>
      <c r="E22" s="227">
        <f t="shared" si="8"/>
        <v>0</v>
      </c>
      <c r="F22" s="227">
        <f t="shared" si="8"/>
        <v>0</v>
      </c>
      <c r="G22" s="227">
        <f t="shared" si="8"/>
        <v>0</v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>
        <f>IF(Inputs!C34="","",Inputs!C34)</f>
        <v>506463</v>
      </c>
      <c r="D23" s="144">
        <f>IF(Inputs!D34="","",Inputs!D34)</f>
        <v>1177151</v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280</v>
      </c>
      <c r="C24" s="309">
        <f t="shared" ref="C24:M24" si="9">IF(C6="","",C14-MAX(C18,0)-MAX(C19,0)-ABS(MAX(C23,0)-MAX(C21,0)))</f>
        <v>-490916.33333333337</v>
      </c>
      <c r="D24" s="309">
        <f t="shared" si="9"/>
        <v>-1106679</v>
      </c>
      <c r="E24" s="309">
        <f t="shared" si="9"/>
        <v>-627758.33333333326</v>
      </c>
      <c r="F24" s="309">
        <f t="shared" si="9"/>
        <v>-39214.666666666672</v>
      </c>
      <c r="G24" s="309">
        <f t="shared" si="9"/>
        <v>17844</v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-3.4216823029890292E-2</v>
      </c>
      <c r="D25" s="143">
        <f t="shared" si="10"/>
        <v>-7.7409187211659819E-2</v>
      </c>
      <c r="E25" s="143">
        <f t="shared" si="10"/>
        <v>-6.0845466295112276E-2</v>
      </c>
      <c r="F25" s="143">
        <f t="shared" si="10"/>
        <v>-6.4969204186339754E-3</v>
      </c>
      <c r="G25" s="143">
        <f t="shared" si="10"/>
        <v>3.7445669783082044E-3</v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281</v>
      </c>
      <c r="C26" s="275">
        <f>IF(C6="","",C24*(1-Fin_Analysis!$I$84))</f>
        <v>-368187.25</v>
      </c>
      <c r="D26" s="276">
        <f>IF(D6="","",D24*(1-Fin_Analysis!$I$84))</f>
        <v>-830009.25</v>
      </c>
      <c r="E26" s="276">
        <f>IF(E6="","",E24*(1-Fin_Analysis!$I$84))</f>
        <v>-470818.74999999994</v>
      </c>
      <c r="F26" s="276">
        <f>IF(F6="","",F24*(1-Fin_Analysis!$I$84))</f>
        <v>-29411.000000000004</v>
      </c>
      <c r="G26" s="276">
        <f>IF(G6="","",G24*(1-Fin_Analysis!$I$84))</f>
        <v>13383</v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0.55640584728423204</v>
      </c>
      <c r="D27" s="305">
        <f t="shared" si="11"/>
        <v>-0.76290610771130096</v>
      </c>
      <c r="E27" s="305">
        <f t="shared" si="11"/>
        <v>-15.008253714596576</v>
      </c>
      <c r="F27" s="305" t="str">
        <f t="shared" si="11"/>
        <v>Turn</v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10808428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2820142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1802858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6391606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186372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449467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635839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4416822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59393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6864609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>
        <f>IF(C6="","",C14/MAX(C39,0))</f>
        <v>-2.3503645048586649E-2</v>
      </c>
      <c r="D40" s="148" t="e">
        <f>IF(D6="","",D14/MAX(D39,0))</f>
        <v>#DIV/0!</v>
      </c>
      <c r="E40" s="148" t="e">
        <f>IF(E6="","",E14/MAX(E39,0))</f>
        <v>#DIV/0!</v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0.8649634921177769</v>
      </c>
      <c r="D42" s="150">
        <f t="shared" si="35"/>
        <v>0.86647110650350234</v>
      </c>
      <c r="E42" s="150">
        <f t="shared" si="35"/>
        <v>0.94866452234140264</v>
      </c>
      <c r="F42" s="150">
        <f t="shared" si="35"/>
        <v>0.92880050294748251</v>
      </c>
      <c r="G42" s="150">
        <f t="shared" si="35"/>
        <v>0.89954610800626078</v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0.14930937614307849</v>
      </c>
      <c r="D43" s="146">
        <f t="shared" si="36"/>
        <v>0.12033870152292019</v>
      </c>
      <c r="E43" s="146">
        <f t="shared" si="36"/>
        <v>4.6455886273651797E-2</v>
      </c>
      <c r="F43" s="146">
        <f t="shared" si="36"/>
        <v>5.0511231271457777E-2</v>
      </c>
      <c r="G43" s="146">
        <f t="shared" si="36"/>
        <v>7.6004385029790331E-2</v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1.8079879981657027E-2</v>
      </c>
      <c r="E44" s="146">
        <f t="shared" si="37"/>
        <v>0</v>
      </c>
      <c r="F44" s="146">
        <f t="shared" si="37"/>
        <v>0</v>
      </c>
      <c r="G44" s="146">
        <f t="shared" si="37"/>
        <v>0</v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2.3437755566327548E-3</v>
      </c>
      <c r="D45" s="146">
        <f t="shared" si="38"/>
        <v>1.152824457225419E-3</v>
      </c>
      <c r="E45" s="146">
        <f t="shared" si="38"/>
        <v>1.1824848024856219E-4</v>
      </c>
      <c r="F45" s="146">
        <f t="shared" si="38"/>
        <v>1.2768079976778883E-4</v>
      </c>
      <c r="G45" s="146">
        <f t="shared" si="38"/>
        <v>1.505325438488989E-4</v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7.2128562067984476E-4</v>
      </c>
      <c r="D46" s="146">
        <f t="shared" si="39"/>
        <v>2.8452688731520977E-3</v>
      </c>
      <c r="E46" s="146">
        <f t="shared" si="39"/>
        <v>5.3968003296655624E-2</v>
      </c>
      <c r="F46" s="146">
        <f t="shared" si="39"/>
        <v>1.6852687430480604E-2</v>
      </c>
      <c r="G46" s="146">
        <f t="shared" si="39"/>
        <v>0</v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2.8284501268352451E-2</v>
      </c>
      <c r="D47" s="146">
        <f t="shared" si="40"/>
        <v>9.4324468277089346E-2</v>
      </c>
      <c r="E47" s="146">
        <f t="shared" si="40"/>
        <v>3.1920628001524433E-2</v>
      </c>
      <c r="F47" s="146">
        <f t="shared" si="40"/>
        <v>1.237045810898992E-2</v>
      </c>
      <c r="G47" s="146">
        <f t="shared" si="40"/>
        <v>1.9306218449022351E-2</v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-4.5622430706520396E-2</v>
      </c>
      <c r="D48" s="281">
        <f t="shared" si="41"/>
        <v>-0.10321224961554643</v>
      </c>
      <c r="E48" s="281">
        <f t="shared" si="41"/>
        <v>-8.112728839348303E-2</v>
      </c>
      <c r="F48" s="281">
        <f t="shared" si="41"/>
        <v>-8.6625605581786332E-3</v>
      </c>
      <c r="G48" s="281">
        <f t="shared" si="41"/>
        <v>4.9927559710776061E-3</v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>
        <f t="shared" ref="C50:M50" si="42">IF(C6="","",C6/C29)</f>
        <v>0.99555791091914569</v>
      </c>
      <c r="D50" s="153" t="e">
        <f t="shared" si="42"/>
        <v>#VALUE!</v>
      </c>
      <c r="E50" s="153" t="e">
        <f t="shared" si="42"/>
        <v>#VALUE!</v>
      </c>
      <c r="F50" s="153" t="e">
        <f t="shared" si="42"/>
        <v>#VALUE!</v>
      </c>
      <c r="G50" s="153" t="e">
        <f t="shared" si="42"/>
        <v>#VALUE!</v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0.26208484876421134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0.16754538114511558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>
        <f t="shared" ref="C53:M53" si="45">IF(D6="","",C18/(C6-D6))</f>
        <v>-14.813743266325055</v>
      </c>
      <c r="D53" s="146">
        <f t="shared" si="45"/>
        <v>6.4957053603081072E-2</v>
      </c>
      <c r="E53" s="146" t="e">
        <f t="shared" si="45"/>
        <v>#VALUE!</v>
      </c>
      <c r="F53" s="146" t="e">
        <f t="shared" si="45"/>
        <v>#VALUE!</v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>
        <f t="shared" ref="C55:M55" si="46">IF(C36="","",(C36-C37)/C29)</f>
        <v>0.40315104102095145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>
        <f t="shared" ref="C56:M56" si="47">IF(OR(C24="",C35=""),"",IF(C35&lt;=0,"-",C24/C35))</f>
        <v>-0.77207647428568138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-5.1373316159101103E-2</v>
      </c>
      <c r="D57" s="146">
        <f t="shared" si="48"/>
        <v>-1.1169453834400038E-2</v>
      </c>
      <c r="E57" s="146">
        <f t="shared" si="48"/>
        <v>-1.4575672697826926E-3</v>
      </c>
      <c r="F57" s="146">
        <f t="shared" si="48"/>
        <v>-1.4739383223963821E-2</v>
      </c>
      <c r="G57" s="146">
        <f t="shared" si="48"/>
        <v>3.0150190540237615E-2</v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>
        <f t="shared" ref="C60:M60" si="50">IF(C14="","",C14/(C36-C37))</f>
        <v>-3.702718583213481E-2</v>
      </c>
      <c r="D60" s="156" t="e">
        <f t="shared" si="50"/>
        <v>#VALUE!</v>
      </c>
      <c r="E60" s="156" t="e">
        <f t="shared" si="50"/>
        <v>#VALUE!</v>
      </c>
      <c r="F60" s="156" t="e">
        <f t="shared" si="50"/>
        <v>#VALUE!</v>
      </c>
      <c r="G60" s="156" t="e">
        <f t="shared" si="50"/>
        <v>#VALUE!</v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>
        <f t="shared" ref="C61:M61" si="51">IF(C24="","",C24/(C36-C37))</f>
        <v>-0.11266192365574594</v>
      </c>
      <c r="D61" s="156" t="e">
        <f t="shared" si="51"/>
        <v>#VALUE!</v>
      </c>
      <c r="E61" s="156" t="e">
        <f t="shared" si="51"/>
        <v>#VALUE!</v>
      </c>
      <c r="F61" s="156" t="e">
        <f t="shared" si="51"/>
        <v>#VALUE!</v>
      </c>
      <c r="G61" s="156" t="e">
        <f t="shared" si="51"/>
        <v>#VALUE!</v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4416822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4357429</v>
      </c>
      <c r="K3" s="75"/>
    </row>
    <row r="4" spans="1:11" ht="15" customHeight="1" x14ac:dyDescent="0.35">
      <c r="B4" s="9" t="s">
        <v>21</v>
      </c>
      <c r="C4" s="3"/>
      <c r="D4" s="144">
        <f>Inputs!C42</f>
        <v>59393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>
        <f>C28/I28</f>
        <v>1.4900249344048726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-162733.88221889886</v>
      </c>
      <c r="E6" s="170">
        <f>1-D6/D3</f>
        <v>1.0368441114943956</v>
      </c>
      <c r="F6" s="3"/>
      <c r="G6" s="3"/>
      <c r="H6" s="2" t="s">
        <v>24</v>
      </c>
      <c r="I6" s="168">
        <f>(C24+C25)/I28</f>
        <v>1.1756650985252286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>
        <f>C24/I28</f>
        <v>1.1756650985252286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3496104</v>
      </c>
      <c r="D11" s="258">
        <f>Inputs!D48</f>
        <v>0.9</v>
      </c>
      <c r="E11" s="176">
        <f t="shared" ref="E11:E22" si="0">C11*D11</f>
        <v>3146493.6</v>
      </c>
      <c r="F11" s="260"/>
      <c r="G11" s="3"/>
      <c r="H11" s="9" t="s">
        <v>31</v>
      </c>
      <c r="I11" s="175">
        <f>Inputs!C73</f>
        <v>174488</v>
      </c>
      <c r="J11" s="3"/>
      <c r="K11" s="75"/>
    </row>
    <row r="12" spans="1:11" ht="11.65" x14ac:dyDescent="0.35">
      <c r="B12" s="2" t="s">
        <v>123</v>
      </c>
      <c r="C12" s="175">
        <f>Inputs!C49</f>
        <v>41635</v>
      </c>
      <c r="D12" s="258">
        <f>Inputs!D49</f>
        <v>0.8</v>
      </c>
      <c r="E12" s="176">
        <f t="shared" si="0"/>
        <v>33308</v>
      </c>
      <c r="F12" s="260"/>
      <c r="G12" s="3"/>
      <c r="H12" s="9" t="s">
        <v>32</v>
      </c>
      <c r="I12" s="175">
        <f>Inputs!C74</f>
        <v>11884</v>
      </c>
      <c r="J12" s="3"/>
      <c r="K12" s="75"/>
    </row>
    <row r="13" spans="1:11" ht="11.65" x14ac:dyDescent="0.35">
      <c r="B13" s="9" t="s">
        <v>105</v>
      </c>
      <c r="C13" s="175">
        <f>Inputs!C50</f>
        <v>2820142</v>
      </c>
      <c r="D13" s="258">
        <f>Inputs!D50</f>
        <v>0.6</v>
      </c>
      <c r="E13" s="176">
        <f t="shared" si="0"/>
        <v>1692085.2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405832</v>
      </c>
      <c r="D14" s="258">
        <f>Inputs!D51</f>
        <v>0.6</v>
      </c>
      <c r="E14" s="176">
        <f t="shared" si="0"/>
        <v>243499.19999999998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186372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1802858</v>
      </c>
      <c r="D18" s="258">
        <f>Inputs!D55</f>
        <v>0.5</v>
      </c>
      <c r="E18" s="176">
        <f t="shared" si="0"/>
        <v>901429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5684</v>
      </c>
      <c r="D21" s="258">
        <f>Inputs!D58</f>
        <v>0.9</v>
      </c>
      <c r="E21" s="176">
        <f t="shared" si="0"/>
        <v>5115.6000000000004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5566723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6763713</v>
      </c>
      <c r="D24" s="185">
        <f>IF(E24=0,0,E24/C24)</f>
        <v>0.75629850054252745</v>
      </c>
      <c r="E24" s="176">
        <f>SUM(E11:E14)</f>
        <v>5115386</v>
      </c>
      <c r="F24" s="186">
        <f>E24/$E$28</f>
        <v>0.84945947400987987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>
        <f>E25/$E$28</f>
        <v>0</v>
      </c>
      <c r="G25" s="3"/>
      <c r="H25" s="183" t="s">
        <v>48</v>
      </c>
      <c r="I25" s="168">
        <f>E28/I28</f>
        <v>1.046728865071757</v>
      </c>
    </row>
    <row r="26" spans="2:10" ht="15" customHeight="1" x14ac:dyDescent="0.35">
      <c r="B26" s="183" t="s">
        <v>49</v>
      </c>
      <c r="C26" s="184">
        <f>C18+C19+C20</f>
        <v>1802858</v>
      </c>
      <c r="D26" s="185">
        <f>IF(E26=0,0,E26/C26)</f>
        <v>0.5</v>
      </c>
      <c r="E26" s="176">
        <f>E18+E19+E20</f>
        <v>901429</v>
      </c>
      <c r="F26" s="186">
        <f>E26/$E$28</f>
        <v>0.14969103097933412</v>
      </c>
      <c r="G26" s="3"/>
      <c r="H26" s="183" t="s">
        <v>50</v>
      </c>
      <c r="I26" s="168">
        <f>E24/($I$28-I22)</f>
        <v>27.447180907003197</v>
      </c>
      <c r="J26" s="187" t="str">
        <f>IF(I26&lt;1,"Liquidity Problem!","")</f>
        <v/>
      </c>
    </row>
    <row r="27" spans="2:10" ht="15" customHeight="1" x14ac:dyDescent="0.35">
      <c r="B27" s="183" t="s">
        <v>51</v>
      </c>
      <c r="C27" s="97">
        <f>C21+C22</f>
        <v>5684</v>
      </c>
      <c r="D27" s="185">
        <f>IF(E27=0,0,E27/C27)</f>
        <v>0.9</v>
      </c>
      <c r="E27" s="176">
        <f>E21+E22</f>
        <v>5115.6000000000004</v>
      </c>
      <c r="F27" s="186">
        <f>E27/$E$28</f>
        <v>8.4949501078607594E-4</v>
      </c>
      <c r="G27" s="3"/>
      <c r="H27" s="183" t="s">
        <v>52</v>
      </c>
      <c r="I27" s="168">
        <f>(E25+E24)/$I$28</f>
        <v>0.88915375115481321</v>
      </c>
      <c r="J27" s="187" t="str">
        <f>IF(OR(I27&lt;0.75,C28&lt;I28),"Liquidity Issue!","")</f>
        <v/>
      </c>
    </row>
    <row r="28" spans="2:10" ht="15" customHeight="1" x14ac:dyDescent="0.35">
      <c r="B28" s="188" t="s">
        <v>14</v>
      </c>
      <c r="C28" s="189">
        <f>SUM(C11:C22)</f>
        <v>8572255</v>
      </c>
      <c r="D28" s="190">
        <f>E28/C28</f>
        <v>0.70249083817501923</v>
      </c>
      <c r="E28" s="191">
        <f>SUM(E24:E27)</f>
        <v>6021930.5999999996</v>
      </c>
      <c r="F28" s="87"/>
      <c r="G28" s="3"/>
      <c r="H28" s="188" t="s">
        <v>15</v>
      </c>
      <c r="I28" s="161">
        <f>Inputs!C77</f>
        <v>5753095</v>
      </c>
      <c r="J28" s="192">
        <f>IF(J26="",1,0)+IF(J27="",1,0)+IF(J46="",1,0)+IF(J47="",1,0)</f>
        <v>4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432202</v>
      </c>
      <c r="J30" s="3"/>
    </row>
    <row r="31" spans="2:10" ht="15" customHeight="1" x14ac:dyDescent="0.35">
      <c r="B31" s="9" t="s">
        <v>55</v>
      </c>
      <c r="C31" s="175">
        <f>Inputs!C61</f>
        <v>41883</v>
      </c>
      <c r="D31" s="258">
        <f>Inputs!D61</f>
        <v>0.6</v>
      </c>
      <c r="E31" s="176">
        <f t="shared" ref="E31:E42" si="1">C31*D31</f>
        <v>25129.8</v>
      </c>
      <c r="F31" s="260"/>
      <c r="G31" s="3"/>
      <c r="H31" s="9" t="s">
        <v>56</v>
      </c>
      <c r="I31" s="175">
        <f>Inputs!C79</f>
        <v>17265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449467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2128034</v>
      </c>
      <c r="D38" s="258">
        <f>Inputs!D68</f>
        <v>0.1</v>
      </c>
      <c r="E38" s="176">
        <f t="shared" si="1"/>
        <v>212803.40000000002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27391</v>
      </c>
      <c r="D40" s="258">
        <f>Inputs!D70</f>
        <v>0.05</v>
      </c>
      <c r="E40" s="176">
        <f t="shared" si="1"/>
        <v>1369.5500000000002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38865</v>
      </c>
      <c r="D41" s="258">
        <f>Inputs!D71</f>
        <v>0.9</v>
      </c>
      <c r="E41" s="176">
        <f t="shared" si="1"/>
        <v>34978.5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189044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41883</v>
      </c>
      <c r="D44" s="185">
        <f>IF(E44=0,0,E44/C44)</f>
        <v>0.6</v>
      </c>
      <c r="E44" s="176">
        <f>SUM(E30:E31)</f>
        <v>25129.8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2128034</v>
      </c>
      <c r="D46" s="185">
        <f>IF(E46=0,0,E46/C46)</f>
        <v>0.1</v>
      </c>
      <c r="E46" s="176">
        <f>E36+E37+E38+E39</f>
        <v>212803.40000000002</v>
      </c>
      <c r="F46" s="3"/>
      <c r="G46" s="3"/>
      <c r="H46" s="183" t="s">
        <v>73</v>
      </c>
      <c r="I46" s="168">
        <f>(E44+E24)/E64</f>
        <v>8.0846185905551557</v>
      </c>
      <c r="J46" s="187" t="str">
        <f>IF(I46&lt;1,"Liquidity Problem!","")</f>
        <v/>
      </c>
    </row>
    <row r="47" spans="2:10" ht="15" customHeight="1" x14ac:dyDescent="0.35">
      <c r="B47" s="183" t="s">
        <v>74</v>
      </c>
      <c r="C47" s="184">
        <f>C40+C41+C42</f>
        <v>66256</v>
      </c>
      <c r="D47" s="185">
        <f>IF(E47=0,0,E47/C47)</f>
        <v>0.54860012678097081</v>
      </c>
      <c r="E47" s="176">
        <f>E40+E41+E42</f>
        <v>36348.050000000003</v>
      </c>
      <c r="F47" s="3"/>
      <c r="G47" s="3"/>
      <c r="H47" s="183" t="s">
        <v>75</v>
      </c>
      <c r="I47" s="168">
        <f>(E44+E45+E24+E25)/$I$49</f>
        <v>0.804260431572284</v>
      </c>
      <c r="J47" s="187" t="str">
        <f>IF(OR(I47&lt;0.5,C49&lt;I49),"Liquidity Issue!","")</f>
        <v/>
      </c>
    </row>
    <row r="48" spans="2:10" ht="15" customHeight="1" thickBot="1" x14ac:dyDescent="0.4">
      <c r="B48" s="91" t="s">
        <v>76</v>
      </c>
      <c r="C48" s="194">
        <f>SUM(C30:C42)</f>
        <v>2236173</v>
      </c>
      <c r="D48" s="195">
        <f>E48/C48</f>
        <v>0.12265654312076928</v>
      </c>
      <c r="E48" s="196">
        <f>SUM(E30:E42)</f>
        <v>274281.25</v>
      </c>
      <c r="F48" s="3"/>
      <c r="G48" s="3"/>
      <c r="H48" s="91" t="s">
        <v>77</v>
      </c>
      <c r="I48" s="197">
        <f>I49-I28</f>
        <v>638511</v>
      </c>
      <c r="J48" s="187"/>
    </row>
    <row r="49" spans="2:11" ht="15" customHeight="1" thickTop="1" x14ac:dyDescent="0.35">
      <c r="B49" s="9" t="s">
        <v>13</v>
      </c>
      <c r="C49" s="184">
        <f>Inputs!C41+Inputs!C37</f>
        <v>10808428</v>
      </c>
      <c r="D49" s="170">
        <f>E49/C49</f>
        <v>0.58252799111952258</v>
      </c>
      <c r="E49" s="176">
        <f>E28+E48</f>
        <v>6296211.8499999996</v>
      </c>
      <c r="F49" s="3"/>
      <c r="G49" s="3"/>
      <c r="H49" s="9" t="s">
        <v>78</v>
      </c>
      <c r="I49" s="175">
        <f>Inputs!C37</f>
        <v>6391606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P/B Approach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59393</v>
      </c>
      <c r="D53" s="34">
        <f>IF(E53=0, 0,E53/C53)</f>
        <v>1.1337991382637431</v>
      </c>
      <c r="E53" s="176">
        <f>IF(C53=0,0,MAX(C53,C53*Dashboard!G23))</f>
        <v>67339.732218898498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635839</v>
      </c>
      <c r="E56" s="321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22">
        <f>Inputs!C84</f>
        <v>0</v>
      </c>
      <c r="E57" s="321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447715</v>
      </c>
      <c r="D61" s="170">
        <f t="shared" ref="D61:D70" si="2">IF(E61=0,0,E61/C61)</f>
        <v>0.6</v>
      </c>
      <c r="E61" s="182">
        <f>E14+E15+(E19*G19)+(E20*G20)+E31+E32+(E35*G35)+(E36*G36)+(E37*G37)</f>
        <v>268629</v>
      </c>
      <c r="F61" s="3"/>
      <c r="G61" s="3"/>
      <c r="H61" s="2" t="s">
        <v>253</v>
      </c>
      <c r="I61" s="203">
        <f>C99*Data!$C$4/Common_Shares</f>
        <v>-0.12820081524782537</v>
      </c>
      <c r="K61" s="172"/>
    </row>
    <row r="62" spans="2:11" ht="11.65" x14ac:dyDescent="0.35">
      <c r="B62" s="12" t="s">
        <v>127</v>
      </c>
      <c r="C62" s="204">
        <f>C11+C30</f>
        <v>3496104</v>
      </c>
      <c r="D62" s="205">
        <f t="shared" si="2"/>
        <v>0.9</v>
      </c>
      <c r="E62" s="206">
        <f>E11+E30</f>
        <v>3146493.6</v>
      </c>
      <c r="F62" s="3"/>
      <c r="G62" s="3"/>
      <c r="H62" s="2" t="s">
        <v>275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3943819</v>
      </c>
      <c r="D63" s="34">
        <f t="shared" si="2"/>
        <v>0.86594303643245296</v>
      </c>
      <c r="E63" s="184">
        <f>E61+E62</f>
        <v>3415122.6</v>
      </c>
      <c r="F63" s="3"/>
      <c r="G63" s="3"/>
      <c r="H63" s="2" t="s">
        <v>254</v>
      </c>
      <c r="I63" s="207">
        <f>IF(I61&gt;0,FV(I62,D93,0,-I61),I61)</f>
        <v>-0.12820081524782537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635839</v>
      </c>
      <c r="F64" s="3"/>
      <c r="G64" s="3"/>
      <c r="H64" s="2" t="s">
        <v>255</v>
      </c>
      <c r="I64" s="207">
        <f>IF(I61&gt;0,PV(C94,D93,0,-I63),I61)</f>
        <v>-0.12820081524782537</v>
      </c>
      <c r="K64" s="172"/>
    </row>
    <row r="65" spans="1:11" ht="12" thickTop="1" x14ac:dyDescent="0.35">
      <c r="B65" s="9" t="s">
        <v>130</v>
      </c>
      <c r="C65" s="202">
        <f>C63-E64</f>
        <v>3307980</v>
      </c>
      <c r="D65" s="34">
        <f t="shared" si="2"/>
        <v>0.84017545450698017</v>
      </c>
      <c r="E65" s="184">
        <f>E63-E64</f>
        <v>2779283.6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6864609</v>
      </c>
      <c r="D68" s="34">
        <f t="shared" si="2"/>
        <v>0.41970187231348494</v>
      </c>
      <c r="E68" s="202">
        <f>E49-E63</f>
        <v>2881089.2499999995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5755767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1108842</v>
      </c>
      <c r="D70" s="34">
        <f t="shared" si="2"/>
        <v>-2.5925043874600715</v>
      </c>
      <c r="E70" s="202">
        <f>E68-E69</f>
        <v>-2874677.7500000005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10760416</v>
      </c>
      <c r="D74" s="98"/>
      <c r="E74" s="256">
        <f>Inputs!E91</f>
        <v>10760416</v>
      </c>
      <c r="F74" s="98"/>
      <c r="H74" s="256">
        <f>Inputs!F91</f>
        <v>10760416</v>
      </c>
      <c r="I74" s="98"/>
      <c r="K74" s="75"/>
    </row>
    <row r="75" spans="1:11" ht="15" customHeight="1" x14ac:dyDescent="0.35">
      <c r="B75" s="100" t="s">
        <v>97</v>
      </c>
      <c r="C75" s="97">
        <f>Data!C8</f>
        <v>9307367</v>
      </c>
      <c r="D75" s="101">
        <f>C75/$C$74</f>
        <v>0.8649634921177769</v>
      </c>
      <c r="E75" s="256">
        <f>Inputs!E92</f>
        <v>9307367</v>
      </c>
      <c r="F75" s="211">
        <f>E75/E74</f>
        <v>0.8649634921177769</v>
      </c>
      <c r="H75" s="256">
        <f>Inputs!F92</f>
        <v>9307367</v>
      </c>
      <c r="I75" s="211">
        <f>H75/$H$74</f>
        <v>0.8649634921177769</v>
      </c>
      <c r="K75" s="75"/>
    </row>
    <row r="76" spans="1:11" ht="15" customHeight="1" x14ac:dyDescent="0.35">
      <c r="B76" s="12" t="s">
        <v>87</v>
      </c>
      <c r="C76" s="145">
        <f>C74-C75</f>
        <v>1453049</v>
      </c>
      <c r="D76" s="212"/>
      <c r="E76" s="213">
        <f>E74-E75</f>
        <v>1453049</v>
      </c>
      <c r="F76" s="212"/>
      <c r="H76" s="213">
        <f>H74-H75</f>
        <v>1453049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1606631</v>
      </c>
      <c r="D77" s="101">
        <f>C77/$C$74</f>
        <v>0.14930937614307849</v>
      </c>
      <c r="E77" s="256">
        <f>Inputs!E93</f>
        <v>1606631</v>
      </c>
      <c r="F77" s="211">
        <f>E77/E74</f>
        <v>0.14930937614307849</v>
      </c>
      <c r="H77" s="256">
        <f>Inputs!F93</f>
        <v>1606631</v>
      </c>
      <c r="I77" s="211">
        <f>H77/$H$74</f>
        <v>0.14930937614307849</v>
      </c>
      <c r="K77" s="75"/>
    </row>
    <row r="78" spans="1:11" ht="15" customHeight="1" x14ac:dyDescent="0.35">
      <c r="B78" s="93" t="s">
        <v>150</v>
      </c>
      <c r="C78" s="97">
        <f>MAX(Data!C12,0)</f>
        <v>7761.333333333333</v>
      </c>
      <c r="D78" s="101">
        <f>C78/$C$74</f>
        <v>7.2128562067984476E-4</v>
      </c>
      <c r="E78" s="214">
        <f>E74*F78</f>
        <v>7761.3333333333321</v>
      </c>
      <c r="F78" s="211">
        <f>I78</f>
        <v>7.2128562067984476E-4</v>
      </c>
      <c r="H78" s="256">
        <f>Inputs!F97</f>
        <v>7761.3333333333321</v>
      </c>
      <c r="I78" s="211">
        <f>H78/$H$74</f>
        <v>7.2128562067984476E-4</v>
      </c>
      <c r="K78" s="75"/>
    </row>
    <row r="79" spans="1:11" ht="15" customHeight="1" x14ac:dyDescent="0.35">
      <c r="B79" s="215" t="s">
        <v>203</v>
      </c>
      <c r="C79" s="216">
        <f>C76-C77-C78</f>
        <v>-161343.33333333334</v>
      </c>
      <c r="D79" s="217">
        <f>C79/C74</f>
        <v>-1.4994153881535188E-2</v>
      </c>
      <c r="E79" s="218">
        <f>E76-E77-E78</f>
        <v>-161343.33333333334</v>
      </c>
      <c r="F79" s="217">
        <f>E79/E74</f>
        <v>-1.4994153881535188E-2</v>
      </c>
      <c r="G79" s="219"/>
      <c r="H79" s="218">
        <f>H76-H77-H78</f>
        <v>-161343.33333333334</v>
      </c>
      <c r="I79" s="217">
        <f>H79/H74</f>
        <v>-1.4994153881535188E-2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25220</v>
      </c>
      <c r="D81" s="101">
        <f>C81/$C$74</f>
        <v>2.3437755566327548E-3</v>
      </c>
      <c r="E81" s="214">
        <f>E74*F81</f>
        <v>25220</v>
      </c>
      <c r="F81" s="211">
        <f>I81</f>
        <v>2.3437755566327548E-3</v>
      </c>
      <c r="H81" s="256">
        <f>Inputs!F94</f>
        <v>25220</v>
      </c>
      <c r="I81" s="211">
        <f>H81/$H$74</f>
        <v>2.3437755566327548E-3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304353</v>
      </c>
      <c r="D82" s="101">
        <f>C82/$C$74</f>
        <v>2.8284501268352451E-2</v>
      </c>
      <c r="E82" s="256">
        <f>Inputs!E95</f>
        <v>304353</v>
      </c>
      <c r="F82" s="211">
        <f>E82/E74</f>
        <v>2.8284501268352451E-2</v>
      </c>
      <c r="H82" s="256">
        <f>Inputs!F95</f>
        <v>304353</v>
      </c>
      <c r="I82" s="211">
        <f>H82/$H$74</f>
        <v>2.8284501268352451E-2</v>
      </c>
      <c r="K82" s="75"/>
    </row>
    <row r="83" spans="1:11" ht="15" customHeight="1" thickBot="1" x14ac:dyDescent="0.4">
      <c r="B83" s="221" t="s">
        <v>113</v>
      </c>
      <c r="C83" s="222">
        <f>C79-C81-C82-C80</f>
        <v>-490916.33333333337</v>
      </c>
      <c r="D83" s="223">
        <f>C83/$C$74</f>
        <v>-4.5622430706520396E-2</v>
      </c>
      <c r="E83" s="224">
        <f>E79-E81-E82-E80</f>
        <v>-490916.33333333337</v>
      </c>
      <c r="F83" s="223">
        <f>E83/E74</f>
        <v>-4.5622430706520396E-2</v>
      </c>
      <c r="H83" s="224">
        <f>H79-H81-H82-H80</f>
        <v>-490916.33333333337</v>
      </c>
      <c r="I83" s="223">
        <f>H83/$H$74</f>
        <v>-4.5622430706520396E-2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-368187.25</v>
      </c>
      <c r="D85" s="217">
        <f>C85/$C$74</f>
        <v>-3.4216823029890292E-2</v>
      </c>
      <c r="E85" s="229">
        <f>E83*(1-F84)</f>
        <v>-368187.25</v>
      </c>
      <c r="F85" s="217">
        <f>E85/E74</f>
        <v>-3.4216823029890292E-2</v>
      </c>
      <c r="G85" s="219"/>
      <c r="H85" s="229">
        <f>H83*(1-I84)</f>
        <v>-368187.25</v>
      </c>
      <c r="I85" s="217">
        <f>H85/$H$74</f>
        <v>-3.4216823029890292E-2</v>
      </c>
      <c r="K85" s="75"/>
    </row>
    <row r="86" spans="1:11" ht="15" customHeight="1" x14ac:dyDescent="0.35">
      <c r="B86" s="3" t="s">
        <v>143</v>
      </c>
      <c r="C86" s="230">
        <f>C85*Data!C4/Common_Shares</f>
        <v>-0.46513236915389783</v>
      </c>
      <c r="D86" s="98"/>
      <c r="E86" s="231">
        <f>E85*Data!C4/Common_Shares</f>
        <v>-0.46513236915389783</v>
      </c>
      <c r="F86" s="98"/>
      <c r="H86" s="231">
        <f>H85*Data!C4/Common_Shares</f>
        <v>-0.46513236915389783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-7.3522916332314961E-2</v>
      </c>
      <c r="D87" s="98"/>
      <c r="E87" s="233">
        <f>E86*Exchange_Rate/Dashboard!G3</f>
        <v>-7.3522916332314961E-2</v>
      </c>
      <c r="F87" s="98"/>
      <c r="H87" s="233">
        <f>H86*Exchange_Rate/Dashboard!G3</f>
        <v>-7.3522916332314961E-2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0.15820000000000001</v>
      </c>
      <c r="D88" s="235">
        <f>C88/C86</f>
        <v>-0.3401182340583494</v>
      </c>
      <c r="E88" s="255">
        <f>Inputs!E98</f>
        <v>0.15820000000000001</v>
      </c>
      <c r="F88" s="235">
        <f>E88/E86</f>
        <v>-0.3401182340583494</v>
      </c>
      <c r="H88" s="255">
        <f>Inputs!F98</f>
        <v>0.15820000000000001</v>
      </c>
      <c r="I88" s="235">
        <f>H88/H86</f>
        <v>-0.3401182340583494</v>
      </c>
      <c r="K88" s="75"/>
    </row>
    <row r="89" spans="1:11" ht="15" customHeight="1" x14ac:dyDescent="0.35">
      <c r="B89" s="3" t="s">
        <v>193</v>
      </c>
      <c r="C89" s="232">
        <f>C88*Exchange_Rate/Dashboard!G3</f>
        <v>2.500648446576674E-2</v>
      </c>
      <c r="D89" s="98"/>
      <c r="E89" s="232">
        <f>E88*Exchange_Rate/Dashboard!G3</f>
        <v>2.500648446576674E-2</v>
      </c>
      <c r="F89" s="98"/>
      <c r="H89" s="232">
        <f>H88*Exchange_Rate/Dashboard!G3</f>
        <v>2.500648446576674E-2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CN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-6.0761049315643385</v>
      </c>
      <c r="H93" s="3" t="s">
        <v>182</v>
      </c>
      <c r="I93" s="237">
        <f>FV(H87,D93,0,-(H86/(C93-D94)))*Exchange_Rate</f>
        <v>-6.0761049315643385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3.0961565101205979</v>
      </c>
      <c r="H94" s="3" t="s">
        <v>183</v>
      </c>
      <c r="I94" s="237">
        <f>FV(H89,D93,0,-(H88/(C93-D94)))*Exchange_Rate</f>
        <v>3.0961565101205979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-2749958.1552258311</v>
      </c>
      <c r="D97" s="244"/>
      <c r="E97" s="245">
        <f>PV(C94,D93,0,-F93)</f>
        <v>-3.4740327151857464</v>
      </c>
      <c r="F97" s="244"/>
      <c r="H97" s="245">
        <f>PV(C94,D93,0,-I93)</f>
        <v>-3.4740327151857464</v>
      </c>
      <c r="I97" s="245">
        <f>PV(C93,D93,0,-I93)</f>
        <v>-4.466118513423539</v>
      </c>
      <c r="K97" s="75"/>
    </row>
    <row r="98" spans="2:11" ht="15" customHeight="1" x14ac:dyDescent="0.35">
      <c r="B98" s="18" t="s">
        <v>132</v>
      </c>
      <c r="C98" s="243">
        <f>-E53*Exchange_Rate</f>
        <v>-71636.211645746094</v>
      </c>
      <c r="D98" s="244"/>
      <c r="E98" s="244"/>
      <c r="F98" s="244"/>
      <c r="H98" s="245">
        <f>C98*Data!$C$4/Common_Shares</f>
        <v>-9.0498301720105548E-2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-101480.58648276368</v>
      </c>
      <c r="D99" s="248"/>
      <c r="E99" s="249">
        <f>IF(H99&gt;0,I64,H99)</f>
        <v>-0.12820081524782537</v>
      </c>
      <c r="F99" s="248"/>
      <c r="H99" s="249">
        <f>I64</f>
        <v>-0.12820081524782537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0</v>
      </c>
      <c r="E100" s="251">
        <f>MAX(E97+H98+E99,0)</f>
        <v>0</v>
      </c>
      <c r="F100" s="251">
        <f>(E100+H100)/2</f>
        <v>0</v>
      </c>
      <c r="H100" s="251">
        <f>MAX(H97+H98+H99,0)</f>
        <v>0</v>
      </c>
      <c r="I100" s="251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1.5047019034966336</v>
      </c>
      <c r="E103" s="245">
        <f>PV(C94,D93,0,-F94)</f>
        <v>1.7702375335254514</v>
      </c>
      <c r="F103" s="251">
        <f>(E103+H103)/2</f>
        <v>1.7702375335254514</v>
      </c>
      <c r="H103" s="245">
        <f>PV(C94,D93,0,-I94)</f>
        <v>1.7702375335254514</v>
      </c>
      <c r="I103" s="251">
        <f>PV(C93,D93,0,-I94)</f>
        <v>2.2757674638687235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0.75235095174831679</v>
      </c>
      <c r="E106" s="245">
        <f>(E100+E103)/2</f>
        <v>0.88511876676272572</v>
      </c>
      <c r="F106" s="251">
        <f>(F100+F103)/2</f>
        <v>0.88511876676272572</v>
      </c>
      <c r="H106" s="245">
        <f>(H100+H103)/2</f>
        <v>0.88511876676272572</v>
      </c>
      <c r="I106" s="245">
        <f>(I100+I103)/2</f>
        <v>1.1378837319343618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45593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2024-12-27T10:15:18Z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