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C174002-C8BC-4896-8228-10769BF6193F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5" i="4" l="1"/>
  <c r="F96" i="4"/>
  <c r="E92" i="4"/>
  <c r="F97" i="4"/>
  <c r="E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<sst xmlns="http://schemas.openxmlformats.org/spreadsheetml/2006/main" count="405" uniqueCount="290">
  <si>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</si>
  <si>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</si>
  <si>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</si>
  <si>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</si>
  <si>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</si>
  <si>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</si>
  <si>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</si>
  <si>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</si>
  <si>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</si>
  <si>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</si>
  <si>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</si>
  <si>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</si>
  <si>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</si>
  <si>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</si>
  <si>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</si>
  <si>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</si>
  <si>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</si>
  <si>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</si>
  <si>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</si>
  <si>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</si>
  <si>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</si>
  <si>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</si>
  <si>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</si>
  <si>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</si>
  <si>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</si>
  <si>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</si>
  <si>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</si>
  <si>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</si>
  <si>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</si>
  <si>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</si>
  <si>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</si>
  <si>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</si>
  <si>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</si>
  <si>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</si>
  <si>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</si>
  <si>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</si>
  <si>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</si>
  <si>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</si>
  <si>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</si>
  <si>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</si>
  <si>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</si>
  <si>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</si>
  <si>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</si>
  <si>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</si>
  <si>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</si>
  <si>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</si>
  <si>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</si>
  <si>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</si>
  <si>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</si>
  <si>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</si>
  <si>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</si>
  <si>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</si>
  <si>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</si>
  <si>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</si>
  <si>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</si>
  <si>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</si>
  <si>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</si>
  <si>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</si>
  <si>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</si>
  <si>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</si>
  <si>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</si>
  <si>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</si>
  <si>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</si>
  <si>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</si>
  <si>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</si>
  <si>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</si>
  <si>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</si>
  <si>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</si>
  <si>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</si>
  <si>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</si>
  <si>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</si>
  <si>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</si>
  <si>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</si>
  <si>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</si>
  <si>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</si>
  <si>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</si>
  <si>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</si>
  <si>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</si>
  <si>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</si>
  <si>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</si>
  <si>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</si>
  <si>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</si>
  <si>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</si>
  <si>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</si>
  <si>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</si>
  <si>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</si>
  <si>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</si>
  <si>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</si>
  <si>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</si>
  <si>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</si>
  <si>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</si>
  <si>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</si>
  <si>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</si>
  <si>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</si>
  <si>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</si>
  <si>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</si>
  <si>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</si>
  <si>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</si>
  <si>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</si>
  <si>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</si>
  <si>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</si>
  <si>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</si>
  <si>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</si>
  <si>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</si>
  <si>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</si>
  <si>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</si>
  <si>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</si>
  <si>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</si>
  <si>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</si>
  <si>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</si>
  <si>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</si>
  <si>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</si>
  <si>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</si>
  <si>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</si>
  <si>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</si>
  <si>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</si>
  <si>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</si>
  <si>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</si>
  <si>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</si>
  <si>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</si>
  <si>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</si>
  <si>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</si>
  <si>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</si>
  <si>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</si>
  <si>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</si>
  <si>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</si>
  <si>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</si>
  <si>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</si>
  <si>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</si>
  <si>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</si>
  <si>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</si>
  <si>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</si>
  <si>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</si>
  <si>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</si>
  <si>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</si>
  <si>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</si>
  <si>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</si>
  <si>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</si>
  <si>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</si>
  <si>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</si>
  <si>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</si>
  <si>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</si>
  <si>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</si>
  <si>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</si>
  <si>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</si>
  <si>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</si>
  <si>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</si>
  <si>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</si>
  <si>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</si>
  <si>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</si>
  <si>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</si>
  <si>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</si>
  <si>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</si>
  <si>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</si>
  <si>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</si>
  <si>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</si>
  <si>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</si>
  <si>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</si>
  <si>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</si>
  <si>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</si>
  <si>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</si>
  <si>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</si>
  <si>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</si>
  <si>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</si>
  <si>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</si>
  <si>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</si>
  <si>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</si>
  <si>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</si>
  <si>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</si>
  <si>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</si>
  <si>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</si>
  <si>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</si>
  <si>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</si>
  <si>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</si>
  <si>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</si>
  <si>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</si>
  <si>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</si>
  <si>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</si>
  <si>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</si>
  <si>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</si>
  <si>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</si>
  <si>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</si>
  <si>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</si>
  <si>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</si>
  <si>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</si>
  <si>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</si>
  <si>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</si>
  <si>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</si>
  <si>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</si>
  <si>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</si>
  <si>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</si>
  <si>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</si>
  <si>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</si>
  <si>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</si>
  <si>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</si>
  <si>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</si>
  <si>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</si>
  <si>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</si>
  <si>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</si>
  <si>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</si>
  <si>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</si>
  <si>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</si>
  <si>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</si>
  <si>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</si>
  <si>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</si>
  <si>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</si>
  <si>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</si>
  <si>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</si>
  <si>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</si>
  <si>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</si>
  <si>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</si>
  <si>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</si>
  <si>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</si>
  <si>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</si>
  <si>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</si>
  <si>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</si>
  <si>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</si>
  <si>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</si>
  <si>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</si>
  <si>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</si>
  <si>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</si>
  <si>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</si>
  <si>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</si>
  <si>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</si>
  <si>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</si>
  <si>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</si>
  <si>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</si>
  <si>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</si>
  <si>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</si>
  <si>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</si>
  <si>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</si>
  <si>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</si>
  <si>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</si>
  <si>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</si>
  <si>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</si>
  <si>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</si>
  <si>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</si>
  <si>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</si>
  <si>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</si>
  <si>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</si>
  <si>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</si>
  <si>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</si>
  <si>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</si>
  <si>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</si>
  <si>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</si>
  <si>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</si>
  <si>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</si>
  <si>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</si>
  <si>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</si>
  <si>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</si>
  <si>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</si>
  <si>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</si>
  <si>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</si>
  <si>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</si>
  <si>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</si>
  <si>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</si>
  <si>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</si>
  <si>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</si>
  <si>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</si>
  <si>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</si>
  <si>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</si>
  <si>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</si>
  <si>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</si>
  <si>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</si>
  <si>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</si>
  <si>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</si>
  <si>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</si>
  <si>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</si>
  <si>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</si>
  <si>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</si>
  <si>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</si>
  <si>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</si>
  <si>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</si>
  <si>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</si>
  <si>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</si>
  <si>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</si>
  <si>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</si>
  <si>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</si>
  <si>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</si>
  <si>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</si>
  <si>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</si>
  <si>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</si>
  <si>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</si>
  <si>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0788.HK</t>
  </si>
  <si>
    <t>中国铁塔</t>
  </si>
  <si>
    <t>Tier 3</t>
  </si>
  <si>
    <t>C0010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</si>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</sst>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176008471024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94009</v>
      </c>
      <c r="D25" s="77">
        <v>92170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65301</v>
      </c>
      <c r="D26" s="78">
        <v>65065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14206</v>
      </c>
      <c r="D27" s="78">
        <v>13793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2827</v>
      </c>
      <c r="D29" s="78">
        <v>3003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0.03739+0.0109</f>
        <v>4.829E-2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4.5062323383420533E-2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94009</v>
      </c>
      <c r="D91" s="98"/>
      <c r="E91" s="99">
        <f>C91</f>
        <v>94009</v>
      </c>
      <c r="F91" s="99">
        <f>C91</f>
        <v>94009</v>
      </c>
    </row>
    <row r="92" spans="2:8" x14ac:dyDescent="0.35">
      <c r="B92" s="100" t="s">
        <v>97</v>
      </c>
      <c r="C92" s="97">
        <f>C26</f>
        <v>65301</v>
      </c>
      <c r="D92" s="101">
        <f>C92/C91</f>
        <v>0.69462498271442097</v>
      </c>
      <c r="E92" s="102">
        <f>E91*D92</f>
        <v>65301</v>
      </c>
      <c r="F92" s="102">
        <f>F91*D92</f>
        <v>65301</v>
      </c>
    </row>
    <row r="93" spans="2:8" x14ac:dyDescent="0.35">
      <c r="B93" s="100" t="s">
        <v>216</v>
      </c>
      <c r="C93" s="97">
        <f>C27+C28</f>
        <v>14206</v>
      </c>
      <c r="D93" s="101">
        <f>C93/C91</f>
        <v>0.15111319129019563</v>
      </c>
      <c r="E93" s="102">
        <f>E91*D93</f>
        <v>14206</v>
      </c>
      <c r="F93" s="102">
        <f>F91*D93</f>
        <v>14206</v>
      </c>
    </row>
    <row r="94" spans="2:8" x14ac:dyDescent="0.35">
      <c r="B94" s="100" t="s">
        <v>222</v>
      </c>
      <c r="C94" s="97">
        <f>C29</f>
        <v>2827</v>
      </c>
      <c r="D94" s="101">
        <f>C94/C91</f>
        <v>3.0071588890425386E-2</v>
      </c>
      <c r="E94" s="103"/>
      <c r="F94" s="102">
        <f>F91*D94</f>
        <v>2827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4.829E-2</v>
      </c>
      <c r="D98" s="105"/>
      <c r="E98" s="106">
        <f>F98</f>
        <v>4.829E-2</v>
      </c>
      <c r="F98" s="106">
        <f>C98</f>
        <v>4.829E-2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0788.HK : 中国铁塔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0788.HK</v>
      </c>
      <c r="D3" s="317"/>
      <c r="E3" s="3"/>
      <c r="F3" s="9" t="s">
        <v>1</v>
      </c>
      <c r="G3" s="10">
        <v>1.1399999999999999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中国铁塔</v>
      </c>
      <c r="D4" s="319"/>
      <c r="E4" s="3"/>
      <c r="F4" s="9" t="s">
        <v>2</v>
      </c>
      <c r="G4" s="322">
        <f>Inputs!C10</f>
        <v>176008471024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45603</v>
      </c>
      <c r="D5" s="321"/>
      <c r="E5" s="16"/>
      <c r="F5" s="12" t="s">
        <v>91</v>
      </c>
      <c r="G5" s="314">
        <f>G3*G4/1000000</f>
        <v>200649.65696735997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C0010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0.15426182599538343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3.0071588890425386E-2</v>
      </c>
      <c r="F24" s="39" t="s">
        <v>224</v>
      </c>
      <c r="G24" s="43">
        <f>G3/(Fin_Analysis!H86*G7)</f>
        <v>21.54066185001588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0.97067227017832514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4.5062323383420533E-2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0.51398755660909501</v>
      </c>
      <c r="D29" s="54">
        <f>G29*(1+G20)</f>
        <v>0.89398011577116732</v>
      </c>
      <c r="E29" s="3"/>
      <c r="F29" s="55">
        <f>IF(Fin_Analysis!C108="Profit",Fin_Analysis!F100,IF(Fin_Analysis!C108="Dividend",Fin_Analysis!F103,Fin_Analysis!F106))</f>
        <v>0.6046912430695236</v>
      </c>
      <c r="G29" s="313">
        <f>IF(Fin_Analysis!C108="Profit",Fin_Analysis!I100,IF(Fin_Analysis!C108="Dividend",Fin_Analysis!I103,Fin_Analysis!I106))</f>
        <v>0.77737401371405856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14502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94009</v>
      </c>
      <c r="D6" s="142">
        <f>IF(Inputs!D25="","",Inputs!D25)</f>
        <v>92170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1.995226212433554E-2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65301</v>
      </c>
      <c r="D8" s="144">
        <f>IF(Inputs!D26="","",Inputs!D26)</f>
        <v>65065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28708</v>
      </c>
      <c r="D9" s="273">
        <f t="shared" si="2"/>
        <v>27105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14206</v>
      </c>
      <c r="D10" s="144">
        <f>IF(Inputs!D27="","",Inputs!D27)</f>
        <v>13793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0.15426182599538343</v>
      </c>
      <c r="D13" s="292">
        <f t="shared" si="3"/>
        <v>0.14442877291960507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14502</v>
      </c>
      <c r="D14" s="294">
        <f t="shared" ref="D14:M14" si="4">IF(D6="","",D9-D10-MAX(D11,0)-MAX(D12,0))</f>
        <v>13312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8.9393028846153841E-2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2827</v>
      </c>
      <c r="D19" s="144">
        <f>IF(Inputs!D29="","",Inputs!D29)</f>
        <v>3003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11675</v>
      </c>
      <c r="D24" s="309">
        <f t="shared" si="9"/>
        <v>10309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9.3142677828718531E-2</v>
      </c>
      <c r="D25" s="143">
        <f t="shared" si="10"/>
        <v>8.3885754583921016E-2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8756.25</v>
      </c>
      <c r="D26" s="276">
        <f>IF(D6="","",D24*(1-Fin_Analysis!$I$84))</f>
        <v>7731.75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0.13250557765059656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0.69462498271442097</v>
      </c>
      <c r="D42" s="150">
        <f t="shared" si="35"/>
        <v>0.70592383638928069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0.15111319129019563</v>
      </c>
      <c r="D43" s="146">
        <f t="shared" si="36"/>
        <v>0.14964739069111424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3.0071588890425386E-2</v>
      </c>
      <c r="D45" s="146">
        <f t="shared" si="38"/>
        <v>3.258110014104372E-2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0.12419023710495804</v>
      </c>
      <c r="D48" s="281">
        <f t="shared" si="41"/>
        <v>0.11184767277856135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0.24214132762312635</v>
      </c>
      <c r="D57" s="146">
        <f t="shared" si="48"/>
        <v>0.29129886506935687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94009</v>
      </c>
      <c r="D74" s="98"/>
      <c r="E74" s="256">
        <f>Inputs!E91</f>
        <v>94009</v>
      </c>
      <c r="F74" s="98"/>
      <c r="H74" s="256">
        <f>Inputs!F91</f>
        <v>94009</v>
      </c>
      <c r="I74" s="98"/>
      <c r="K74" s="75"/>
    </row>
    <row r="75" spans="1:11" ht="15" customHeight="1" x14ac:dyDescent="0.35">
      <c r="B75" s="100" t="s">
        <v>97</v>
      </c>
      <c r="C75" s="97">
        <f>Data!C8</f>
        <v>65301</v>
      </c>
      <c r="D75" s="101">
        <f>C75/$C$74</f>
        <v>0.69462498271442097</v>
      </c>
      <c r="E75" s="256">
        <f>Inputs!E92</f>
        <v>65301</v>
      </c>
      <c r="F75" s="211">
        <f>E75/E74</f>
        <v>0.69462498271442097</v>
      </c>
      <c r="H75" s="256">
        <f>Inputs!F92</f>
        <v>65301</v>
      </c>
      <c r="I75" s="211">
        <f>H75/$H$74</f>
        <v>0.69462498271442097</v>
      </c>
      <c r="K75" s="75"/>
    </row>
    <row r="76" spans="1:11" ht="15" customHeight="1" x14ac:dyDescent="0.35">
      <c r="B76" s="12" t="s">
        <v>87</v>
      </c>
      <c r="C76" s="145">
        <f>C74-C75</f>
        <v>28708</v>
      </c>
      <c r="D76" s="212"/>
      <c r="E76" s="213">
        <f>E74-E75</f>
        <v>28708</v>
      </c>
      <c r="F76" s="212"/>
      <c r="H76" s="213">
        <f>H74-H75</f>
        <v>28708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14206</v>
      </c>
      <c r="D77" s="101">
        <f>C77/$C$74</f>
        <v>0.15111319129019563</v>
      </c>
      <c r="E77" s="256">
        <f>Inputs!E93</f>
        <v>14206</v>
      </c>
      <c r="F77" s="211">
        <f>E77/E74</f>
        <v>0.15111319129019563</v>
      </c>
      <c r="H77" s="256">
        <f>Inputs!F93</f>
        <v>14206</v>
      </c>
      <c r="I77" s="211">
        <f>H77/$H$74</f>
        <v>0.15111319129019563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14502</v>
      </c>
      <c r="D79" s="217">
        <f>C79/C74</f>
        <v>0.15426182599538343</v>
      </c>
      <c r="E79" s="218">
        <f>E76-E77-E78</f>
        <v>14502</v>
      </c>
      <c r="F79" s="217">
        <f>E79/E74</f>
        <v>0.15426182599538343</v>
      </c>
      <c r="G79" s="219"/>
      <c r="H79" s="218">
        <f>H76-H77-H78</f>
        <v>14502</v>
      </c>
      <c r="I79" s="217">
        <f>H79/H74</f>
        <v>0.15426182599538343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2827</v>
      </c>
      <c r="D81" s="101">
        <f>C81/$C$74</f>
        <v>3.0071588890425386E-2</v>
      </c>
      <c r="E81" s="214">
        <f>E74*F81</f>
        <v>2827</v>
      </c>
      <c r="F81" s="211">
        <f>I81</f>
        <v>3.0071588890425386E-2</v>
      </c>
      <c r="H81" s="256">
        <f>Inputs!F94</f>
        <v>2827</v>
      </c>
      <c r="I81" s="211">
        <f>H81/$H$74</f>
        <v>3.0071588890425386E-2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11675</v>
      </c>
      <c r="D83" s="223">
        <f>C83/$C$74</f>
        <v>0.12419023710495804</v>
      </c>
      <c r="E83" s="224">
        <f>E79-E81-E82-E80</f>
        <v>11675</v>
      </c>
      <c r="F83" s="223">
        <f>E83/E74</f>
        <v>0.12419023710495804</v>
      </c>
      <c r="H83" s="224">
        <f>H79-H81-H82-H80</f>
        <v>11675</v>
      </c>
      <c r="I83" s="223">
        <f>H83/$H$74</f>
        <v>0.12419023710495804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8756.25</v>
      </c>
      <c r="D85" s="217">
        <f>C85/$C$74</f>
        <v>9.3142677828718531E-2</v>
      </c>
      <c r="E85" s="229">
        <f>E83*(1-F84)</f>
        <v>8756.25</v>
      </c>
      <c r="F85" s="217">
        <f>E85/E74</f>
        <v>9.3142677828718531E-2</v>
      </c>
      <c r="G85" s="219"/>
      <c r="H85" s="229">
        <f>H83*(1-I84)</f>
        <v>8756.25</v>
      </c>
      <c r="I85" s="217">
        <f>H85/$H$74</f>
        <v>9.3142677828718531E-2</v>
      </c>
      <c r="K85" s="75"/>
    </row>
    <row r="86" spans="1:11" ht="15" customHeight="1" x14ac:dyDescent="0.35">
      <c r="B86" s="3" t="s">
        <v>143</v>
      </c>
      <c r="C86" s="230">
        <f>C85*Data!C4/Common_Shares</f>
        <v>4.9749025993220654E-2</v>
      </c>
      <c r="D86" s="98"/>
      <c r="E86" s="231">
        <f>E85*Data!C4/Common_Shares</f>
        <v>4.9749025993220654E-2</v>
      </c>
      <c r="F86" s="98"/>
      <c r="H86" s="231">
        <f>H85*Data!C4/Common_Shares</f>
        <v>4.9749025993220654E-2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4.6423828894526883E-2</v>
      </c>
      <c r="D87" s="98"/>
      <c r="E87" s="233">
        <f>E86*Exchange_Rate/Dashboard!G3</f>
        <v>4.6423828894526883E-2</v>
      </c>
      <c r="F87" s="98"/>
      <c r="H87" s="233">
        <f>H86*Exchange_Rate/Dashboard!G3</f>
        <v>4.6423828894526883E-2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4.829E-2</v>
      </c>
      <c r="D88" s="235">
        <f>C88/C86</f>
        <v>0.97067227017832514</v>
      </c>
      <c r="E88" s="255">
        <f>Inputs!E98</f>
        <v>4.829E-2</v>
      </c>
      <c r="F88" s="235">
        <f>E88/E86</f>
        <v>0.97067227017832514</v>
      </c>
      <c r="H88" s="255">
        <f>Inputs!F98</f>
        <v>4.829E-2</v>
      </c>
      <c r="I88" s="235">
        <f>H88/H86</f>
        <v>0.97067227017832514</v>
      </c>
      <c r="K88" s="75"/>
    </row>
    <row r="89" spans="1:11" ht="15" customHeight="1" x14ac:dyDescent="0.35">
      <c r="B89" s="3" t="s">
        <v>193</v>
      </c>
      <c r="C89" s="232">
        <f>C88*Exchange_Rate/Dashboard!G3</f>
        <v>4.5062323383420533E-2</v>
      </c>
      <c r="D89" s="98"/>
      <c r="E89" s="232">
        <f>E88*Exchange_Rate/Dashboard!G3</f>
        <v>4.5062323383420533E-2</v>
      </c>
      <c r="F89" s="98"/>
      <c r="H89" s="232">
        <f>H88*Exchange_Rate/Dashboard!G3</f>
        <v>4.5062323383420533E-2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1.0576087634488656</v>
      </c>
      <c r="H93" s="3" t="s">
        <v>182</v>
      </c>
      <c r="I93" s="237">
        <f>FV(H87,D93,0,-(H86/(C93-D94)))*Exchange_Rate</f>
        <v>1.0576087634488656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1.0212591112445173</v>
      </c>
      <c r="H94" s="3" t="s">
        <v>183</v>
      </c>
      <c r="I94" s="237">
        <f>FV(H89,D93,0,-(H88/(C93-D94)))*Exchange_Rate</f>
        <v>1.0212591112445173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106430.78113426878</v>
      </c>
      <c r="D97" s="244"/>
      <c r="E97" s="245">
        <f>PV(C94,D93,0,-F93)</f>
        <v>0.6046912430695236</v>
      </c>
      <c r="F97" s="244"/>
      <c r="H97" s="245">
        <f>PV(C94,D93,0,-I93)</f>
        <v>0.6046912430695236</v>
      </c>
      <c r="I97" s="245">
        <f>PV(C93,D93,0,-I93)</f>
        <v>0.77737401371405856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0.51398755660909501</v>
      </c>
      <c r="E100" s="251">
        <f>MAX(E97+H98+E99,0)</f>
        <v>0.6046912430695236</v>
      </c>
      <c r="F100" s="251">
        <f>(E100+H100)/2</f>
        <v>0.6046912430695236</v>
      </c>
      <c r="H100" s="251">
        <f>MAX(H97+H98+H99,0)</f>
        <v>0.6046912430695236</v>
      </c>
      <c r="I100" s="251">
        <f>MAX(I97+H98+H99,0)</f>
        <v>0.77737401371405856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0.49632197972868308</v>
      </c>
      <c r="E103" s="245">
        <f>PV(C94,D93,0,-F94)</f>
        <v>0.58390821144550953</v>
      </c>
      <c r="F103" s="251">
        <f>(E103+H103)/2</f>
        <v>0.58390821144550953</v>
      </c>
      <c r="H103" s="245">
        <f>PV(C94,D93,0,-I94)</f>
        <v>0.58390821144550953</v>
      </c>
      <c r="I103" s="251">
        <f>PV(C93,D93,0,-I94)</f>
        <v>0.75065593420509424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0.50515476816888905</v>
      </c>
      <c r="E106" s="245">
        <f>(E100+E103)/2</f>
        <v>0.59429972725751656</v>
      </c>
      <c r="F106" s="251">
        <f>(F100+F103)/2</f>
        <v>0.59429972725751656</v>
      </c>
      <c r="H106" s="245">
        <f>(H100+H103)/2</f>
        <v>0.59429972725751656</v>
      </c>
      <c r="I106" s="245">
        <f>(I100+I103)/2</f>
        <v>0.7640149739595764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