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DC82BEB-6149-4B72-B9EE-6CEA8D802928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37" i="4"/>
  <c r="C37" i="4"/>
  <c r="F96" i="4" l="1"/>
  <c r="E92" i="4"/>
  <c r="F97" i="4"/>
  <c r="F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<sst xmlns="http://schemas.openxmlformats.org/spreadsheetml/2006/main" count="406" uniqueCount="290">
  <si>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</si>
  <si>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</si>
  <si>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</si>
  <si>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</si>
  <si>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</si>
  <si>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</si>
  <si>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</si>
  <si>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</si>
  <si>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</si>
  <si>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</si>
  <si>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</si>
  <si>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</si>
  <si>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</si>
  <si>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</si>
  <si>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</si>
  <si>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</si>
  <si>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</si>
  <si>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</si>
  <si>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</si>
  <si>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</si>
  <si>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</si>
  <si>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</si>
  <si>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</si>
  <si>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</si>
  <si>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</si>
  <si>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</si>
  <si>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</si>
  <si>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</si>
  <si>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</si>
  <si>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</si>
  <si>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</si>
  <si>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</si>
  <si>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</si>
  <si>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</si>
  <si>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</si>
  <si>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</si>
  <si>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</si>
  <si>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</si>
  <si>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</si>
  <si>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</si>
  <si>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</si>
  <si>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</si>
  <si>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</si>
  <si>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</si>
  <si>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</si>
  <si>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</si>
  <si>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</si>
  <si>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</si>
  <si>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</si>
  <si>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</si>
  <si>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</si>
  <si>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</si>
  <si>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</si>
  <si>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</si>
  <si>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</si>
  <si>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</si>
  <si>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</si>
  <si>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</si>
  <si>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</si>
  <si>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</si>
  <si>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</si>
  <si>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</si>
  <si>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</si>
  <si>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</si>
  <si>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</si>
  <si>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</si>
  <si>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</si>
  <si>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</si>
  <si>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</si>
  <si>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</si>
  <si>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</si>
  <si>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</si>
  <si>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</si>
  <si>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</si>
  <si>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</si>
  <si>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</si>
  <si>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</si>
  <si>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</si>
  <si>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</si>
  <si>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</si>
  <si>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</si>
  <si>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</si>
  <si>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</si>
  <si>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</si>
  <si>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</si>
  <si>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</si>
  <si>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</si>
  <si>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</si>
  <si>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</si>
  <si>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</si>
  <si>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</si>
  <si>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</si>
  <si>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</si>
  <si>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</si>
  <si>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</si>
  <si>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</si>
  <si>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</si>
  <si>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</si>
  <si>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</si>
  <si>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</si>
  <si>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</si>
  <si>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</si>
  <si>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</si>
  <si>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</si>
  <si>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</si>
  <si>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</si>
  <si>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</si>
  <si>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</si>
  <si>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</si>
  <si>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</si>
  <si>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</si>
  <si>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</si>
  <si>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</si>
  <si>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</si>
  <si>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</si>
  <si>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</si>
  <si>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</si>
  <si>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</si>
  <si>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</si>
  <si>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</si>
  <si>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</si>
  <si>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</si>
  <si>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</si>
  <si>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</si>
  <si>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</si>
  <si>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</si>
  <si>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</si>
  <si>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</si>
  <si>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</si>
  <si>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</si>
  <si>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</si>
  <si>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</si>
  <si>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</si>
  <si>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</si>
  <si>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</si>
  <si>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</si>
  <si>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</si>
  <si>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</si>
  <si>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</si>
  <si>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</si>
  <si>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</si>
  <si>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</si>
  <si>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</si>
  <si>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</si>
  <si>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</si>
  <si>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</si>
  <si>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</si>
  <si>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</si>
  <si>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</si>
  <si>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</si>
  <si>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</si>
  <si>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</si>
  <si>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</si>
  <si>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</si>
  <si>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</si>
  <si>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</si>
  <si>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</si>
  <si>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</si>
  <si>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</si>
  <si>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</si>
  <si>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</si>
  <si>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</si>
  <si>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</si>
  <si>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</si>
  <si>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</si>
  <si>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</si>
  <si>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</si>
  <si>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</si>
  <si>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</si>
  <si>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</si>
  <si>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</si>
  <si>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</si>
  <si>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</si>
  <si>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</si>
  <si>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</si>
  <si>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</si>
  <si>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</si>
  <si>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</si>
  <si>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</si>
  <si>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</si>
  <si>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</si>
  <si>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</si>
  <si>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</si>
  <si>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</si>
  <si>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</si>
  <si>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</si>
  <si>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</si>
  <si>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</si>
  <si>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</si>
  <si>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</si>
  <si>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</si>
  <si>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</si>
  <si>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</si>
  <si>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</si>
  <si>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</si>
  <si>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</si>
  <si>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</si>
  <si>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</si>
  <si>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</si>
  <si>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</si>
  <si>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</si>
  <si>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</si>
  <si>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</si>
  <si>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</si>
  <si>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</si>
  <si>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</si>
  <si>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</si>
  <si>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</si>
  <si>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</si>
  <si>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</si>
  <si>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</si>
  <si>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</si>
  <si>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</si>
  <si>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</si>
  <si>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</si>
  <si>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</si>
  <si>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</si>
  <si>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</si>
  <si>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</si>
  <si>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</si>
  <si>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</si>
  <si>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</si>
  <si>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</si>
  <si>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</si>
  <si>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</si>
  <si>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</si>
  <si>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</si>
  <si>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</si>
  <si>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</si>
  <si>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</si>
  <si>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</si>
  <si>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</si>
  <si>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</si>
  <si>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</si>
  <si>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</si>
  <si>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</si>
  <si>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</si>
  <si>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</si>
  <si>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</si>
  <si>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</si>
  <si>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</si>
  <si>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</si>
  <si>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</si>
  <si>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</si>
  <si>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</si>
  <si>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</si>
  <si>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</si>
  <si>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</si>
  <si>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</si>
  <si>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</si>
  <si>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</si>
  <si>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</si>
  <si>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</si>
  <si>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</si>
  <si>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</si>
  <si>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</si>
  <si>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</si>
  <si>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</si>
  <si>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</si>
  <si>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</si>
  <si>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</si>
  <si>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</si>
  <si>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</si>
  <si>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</si>
  <si>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</si>
  <si>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</si>
  <si>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</si>
  <si>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</si>
  <si>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</si>
  <si>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</si>
  <si>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</si>
  <si>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</si>
  <si>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</si>
  <si>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</si>
  <si>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</si>
  <si>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</si>
  <si>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</si>
  <si>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</si>
  <si>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</si>
  <si>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</si>
  <si>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</si>
  <si>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</si>
  <si>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</si>
  <si>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0887.HK</t>
  </si>
  <si>
    <t>英皇鐘錶珠寶</t>
  </si>
  <si>
    <t>Strongly agree</t>
  </si>
  <si>
    <t>agree</t>
  </si>
  <si>
    <t>Consumer Monopoly</t>
  </si>
  <si>
    <t xml:space="preserve">6,922	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</si>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</sst>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6779458129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286</v>
      </c>
      <c r="D19" s="75"/>
    </row>
    <row r="20" spans="2:13" x14ac:dyDescent="0.35">
      <c r="B20" s="57" t="s">
        <v>200</v>
      </c>
      <c r="C20" s="121" t="s">
        <v>286</v>
      </c>
      <c r="D20" s="75"/>
    </row>
    <row r="21" spans="2:13" x14ac:dyDescent="0.35">
      <c r="B21" s="2" t="s">
        <v>203</v>
      </c>
      <c r="C21" s="121" t="s">
        <v>285</v>
      </c>
      <c r="D21" s="75"/>
    </row>
    <row r="22" spans="2:13" ht="69.75" x14ac:dyDescent="0.35">
      <c r="B22" s="59" t="s">
        <v>202</v>
      </c>
      <c r="C22" s="122" t="s">
        <v>287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4823223</v>
      </c>
      <c r="D25" s="77">
        <v>3684261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3372942</v>
      </c>
      <c r="D26" s="78">
        <v>2506999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1070762</v>
      </c>
      <c r="D27" s="78">
        <v>881682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10228</v>
      </c>
      <c r="D29" s="78">
        <v>6896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0</v>
      </c>
      <c r="D31" s="78">
        <v>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525545+229394</f>
        <v>754939</v>
      </c>
      <c r="D37" s="78">
        <f>433472+103298</f>
        <v>536770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v>6831</v>
      </c>
      <c r="D38" s="78" t="s">
        <v>288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5186911</v>
      </c>
      <c r="D41" s="302">
        <v>4845059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0</v>
      </c>
      <c r="D42" s="78">
        <v>0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0.0065+0.0056</f>
        <v>1.21E-2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7.2023809523809518E-2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4823223</v>
      </c>
      <c r="D91" s="98"/>
      <c r="E91" s="99">
        <f>C91</f>
        <v>4823223</v>
      </c>
      <c r="F91" s="99">
        <f>C91</f>
        <v>4823223</v>
      </c>
    </row>
    <row r="92" spans="2:8" x14ac:dyDescent="0.35">
      <c r="B92" s="100" t="s">
        <v>98</v>
      </c>
      <c r="C92" s="97">
        <f>C26</f>
        <v>3372942</v>
      </c>
      <c r="D92" s="101">
        <f>C92/C91</f>
        <v>0.69931288683936033</v>
      </c>
      <c r="E92" s="102">
        <f>E91*D92</f>
        <v>3372942</v>
      </c>
      <c r="F92" s="102">
        <f>F91*D92</f>
        <v>3372942</v>
      </c>
    </row>
    <row r="93" spans="2:8" x14ac:dyDescent="0.35">
      <c r="B93" s="100" t="s">
        <v>217</v>
      </c>
      <c r="C93" s="97">
        <f>C27+C28</f>
        <v>1070762</v>
      </c>
      <c r="D93" s="101">
        <f>C93/C91</f>
        <v>0.22200134640260258</v>
      </c>
      <c r="E93" s="102">
        <f>E91*D93</f>
        <v>1070762</v>
      </c>
      <c r="F93" s="102">
        <f>F91*D93</f>
        <v>1070762</v>
      </c>
    </row>
    <row r="94" spans="2:8" x14ac:dyDescent="0.35">
      <c r="B94" s="100" t="s">
        <v>223</v>
      </c>
      <c r="C94" s="97">
        <f>C29</f>
        <v>10228</v>
      </c>
      <c r="D94" s="101">
        <f>C94/C91</f>
        <v>2.1205737325435711E-3</v>
      </c>
      <c r="E94" s="103"/>
      <c r="F94" s="102">
        <f>F91*D94</f>
        <v>10228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1.21E-2</v>
      </c>
      <c r="D98" s="105"/>
      <c r="E98" s="106">
        <f>F98</f>
        <v>1.21E-2</v>
      </c>
      <c r="F98" s="106">
        <f>C98</f>
        <v>1.21E-2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0887.HK : 英皇鐘錶珠寶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168</v>
      </c>
      <c r="C3" s="316" t="str">
        <f>Inputs!C4</f>
        <v>0887.HK</v>
      </c>
      <c r="D3" s="317"/>
      <c r="E3" s="3"/>
      <c r="F3" s="9" t="s">
        <v>1</v>
      </c>
      <c r="G3" s="10">
        <v>0.16800000000000001</v>
      </c>
      <c r="H3" s="11" t="s">
        <v>257</v>
      </c>
    </row>
    <row r="4" spans="1:10" ht="15.75" customHeight="1" x14ac:dyDescent="0.35">
      <c r="B4" s="12" t="s">
        <v>169</v>
      </c>
      <c r="C4" s="318" t="str">
        <f>Inputs!C5</f>
        <v>英皇鐘錶珠寶</v>
      </c>
      <c r="D4" s="319"/>
      <c r="E4" s="3"/>
      <c r="F4" s="9" t="s">
        <v>3</v>
      </c>
      <c r="G4" s="322">
        <f>Inputs!C10</f>
        <v>6779458129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4">
        <f>G3*G4/1000000</f>
        <v>1138.9489656720002</v>
      </c>
      <c r="H5" s="314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7.3168596877794909E-2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7.868576675803711E-2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0.81173759014448366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1.1455469353532381</v>
      </c>
      <c r="F23" s="39" t="s">
        <v>164</v>
      </c>
      <c r="G23" s="40">
        <f>G3/(Data!C36*Data!C4/Common_Shares*Exchange_Rate)</f>
        <v>0.21958135886117963</v>
      </c>
    </row>
    <row r="24" spans="1:8" ht="15.75" customHeight="1" x14ac:dyDescent="0.35">
      <c r="B24" s="41" t="s">
        <v>240</v>
      </c>
      <c r="C24" s="42">
        <f>Fin_Analysis!I81</f>
        <v>2.1205737325435711E-3</v>
      </c>
      <c r="F24" s="39" t="s">
        <v>225</v>
      </c>
      <c r="G24" s="43">
        <f>G3/(Fin_Analysis!H86*G7)</f>
        <v>4.1122004622262667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0.29617634281510608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7.2023809523809518E-2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2" t="s">
        <v>224</v>
      </c>
      <c r="H28" s="312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0.14121081822781492</v>
      </c>
      <c r="D29" s="54">
        <f>G29*(1+G20)</f>
        <v>0.2502098419333682</v>
      </c>
      <c r="E29" s="3"/>
      <c r="F29" s="55">
        <f>IF(Fin_Analysis!C108="Profit",Fin_Analysis!F100,IF(Fin_Analysis!C108="Dividend",Fin_Analysis!F103,Fin_Analysis!F106))</f>
        <v>0.16613037438566461</v>
      </c>
      <c r="G29" s="313">
        <f>IF(Fin_Analysis!C108="Profit",Fin_Analysis!I100,IF(Fin_Analysis!C108="Dividend",Fin_Analysis!I103,Fin_Analysis!I106))</f>
        <v>0.21757377559423324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379519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4823223</v>
      </c>
      <c r="D6" s="142">
        <f>IF(Inputs!D25="","",Inputs!D25)</f>
        <v>3684261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0.30914259331790017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3372942</v>
      </c>
      <c r="D8" s="144">
        <f>IF(Inputs!D26="","",Inputs!D26)</f>
        <v>2506999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1450281</v>
      </c>
      <c r="D9" s="273">
        <f t="shared" si="2"/>
        <v>1177262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1070762</v>
      </c>
      <c r="D10" s="144">
        <f>IF(Inputs!D27="","",Inputs!D27)</f>
        <v>881682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7.868576675803711E-2</v>
      </c>
      <c r="D13" s="292">
        <f t="shared" si="3"/>
        <v>8.0227758022572232E-2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379519</v>
      </c>
      <c r="D14" s="294">
        <f t="shared" ref="D14:M14" si="4">IF(D6="","",D9-D10-MAX(D11,0)-MAX(D12,0))</f>
        <v>295580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0.28398064821706476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-295580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10228</v>
      </c>
      <c r="D19" s="144">
        <f>IF(Inputs!D29="","",Inputs!D29)</f>
        <v>6896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369291</v>
      </c>
      <c r="D24" s="309">
        <f t="shared" si="9"/>
        <v>288684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5.7423894769120153E-2</v>
      </c>
      <c r="D25" s="143">
        <f t="shared" si="10"/>
        <v>5.8767009177688553E-2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276968.25</v>
      </c>
      <c r="D26" s="276">
        <f>IF(D6="","",D24*(1-Fin_Analysis!$I$84))</f>
        <v>216513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0.27922226379016502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5941850</v>
      </c>
      <c r="D29" s="147">
        <f>IF(D36="","",D36+D32)</f>
        <v>5381829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754939</v>
      </c>
      <c r="D32" s="144">
        <f>IF(Inputs!D37="","",Inputs!D37)</f>
        <v>536770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5186911</v>
      </c>
      <c r="D36" s="144">
        <f>IF(Inputs!D41="","",Inputs!D41)</f>
        <v>4845059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0</v>
      </c>
      <c r="D37" s="144">
        <f>IF(Inputs!D42="","",Inputs!D42)</f>
        <v>0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5941850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6.3872194686839953E-2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0.69931288683936033</v>
      </c>
      <c r="D42" s="150">
        <f t="shared" si="35"/>
        <v>0.6804618348157202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0.22200134640260258</v>
      </c>
      <c r="D43" s="146">
        <f t="shared" si="36"/>
        <v>0.23931040716170759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2.1205737325435711E-3</v>
      </c>
      <c r="D45" s="146">
        <f t="shared" si="38"/>
        <v>1.8717457856541652E-3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7.6565193025493528E-2</v>
      </c>
      <c r="D48" s="281">
        <f t="shared" si="41"/>
        <v>7.8356012236918071E-2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0.81173759014448366</v>
      </c>
      <c r="D50" s="153">
        <f t="shared" si="42"/>
        <v>0.684574147562102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0.87294546311334009</v>
      </c>
      <c r="D55" s="150">
        <f t="shared" si="46"/>
        <v>0.90026253156687064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2.7696315371888294E-2</v>
      </c>
      <c r="D57" s="146">
        <f t="shared" si="48"/>
        <v>2.3887711130509484E-2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1.149641946531804E-3</v>
      </c>
      <c r="D58" s="146" t="e">
        <f>IF(D36="","",IF(Inputs!D38=0,0,Inputs!D38/D29))</f>
        <v>#VALUE!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>Error</v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7.3168596877794895E-2</v>
      </c>
      <c r="D60" s="156">
        <f t="shared" si="50"/>
        <v>6.1006481035628259E-2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7.1196710334918034E-2</v>
      </c>
      <c r="D61" s="156">
        <f t="shared" si="51"/>
        <v>5.9583175354520963E-2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5186911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5186911</v>
      </c>
      <c r="K3" s="75"/>
    </row>
    <row r="4" spans="1:11" ht="15" customHeight="1" x14ac:dyDescent="0.35">
      <c r="B4" s="9" t="s">
        <v>22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-754939</v>
      </c>
      <c r="E6" s="170">
        <f>1-D6/D3</f>
        <v>1.1455469353532381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754939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754939</v>
      </c>
      <c r="J48" s="187"/>
    </row>
    <row r="49" spans="2:11" ht="15" customHeight="1" thickTop="1" x14ac:dyDescent="0.35">
      <c r="B49" s="9" t="s">
        <v>14</v>
      </c>
      <c r="C49" s="184">
        <f>Inputs!C41+Inputs!C37</f>
        <v>5941850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754939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-0.11135683496158075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-0.11135683496158075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-0.11135683496158075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5941850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754939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5186911</v>
      </c>
      <c r="D70" s="34">
        <f t="shared" si="2"/>
        <v>-0.14554693535323818</v>
      </c>
      <c r="E70" s="202">
        <f>E68-E69</f>
        <v>-754939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4823223</v>
      </c>
      <c r="D74" s="98"/>
      <c r="E74" s="256">
        <f>Inputs!E91</f>
        <v>4823223</v>
      </c>
      <c r="F74" s="98"/>
      <c r="H74" s="256">
        <f>Inputs!F91</f>
        <v>4823223</v>
      </c>
      <c r="I74" s="98"/>
      <c r="K74" s="75"/>
    </row>
    <row r="75" spans="1:11" ht="15" customHeight="1" x14ac:dyDescent="0.35">
      <c r="B75" s="100" t="s">
        <v>98</v>
      </c>
      <c r="C75" s="97">
        <f>Data!C8</f>
        <v>3372942</v>
      </c>
      <c r="D75" s="101">
        <f>C75/$C$74</f>
        <v>0.69931288683936033</v>
      </c>
      <c r="E75" s="256">
        <f>Inputs!E92</f>
        <v>3372942</v>
      </c>
      <c r="F75" s="211">
        <f>E75/E74</f>
        <v>0.69931288683936033</v>
      </c>
      <c r="H75" s="256">
        <f>Inputs!F92</f>
        <v>3372942</v>
      </c>
      <c r="I75" s="211">
        <f>H75/$H$74</f>
        <v>0.69931288683936033</v>
      </c>
      <c r="K75" s="75"/>
    </row>
    <row r="76" spans="1:11" ht="15" customHeight="1" x14ac:dyDescent="0.35">
      <c r="B76" s="12" t="s">
        <v>88</v>
      </c>
      <c r="C76" s="145">
        <f>C74-C75</f>
        <v>1450281</v>
      </c>
      <c r="D76" s="212"/>
      <c r="E76" s="213">
        <f>E74-E75</f>
        <v>1450281</v>
      </c>
      <c r="F76" s="212"/>
      <c r="H76" s="213">
        <f>H74-H75</f>
        <v>1450281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1070762</v>
      </c>
      <c r="D77" s="101">
        <f>C77/$C$74</f>
        <v>0.22200134640260258</v>
      </c>
      <c r="E77" s="256">
        <f>Inputs!E93</f>
        <v>1070762</v>
      </c>
      <c r="F77" s="211">
        <f>E77/E74</f>
        <v>0.22200134640260258</v>
      </c>
      <c r="H77" s="256">
        <f>Inputs!F93</f>
        <v>1070762</v>
      </c>
      <c r="I77" s="211">
        <f>H77/$H$74</f>
        <v>0.22200134640260258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379519</v>
      </c>
      <c r="D79" s="217">
        <f>C79/C74</f>
        <v>7.868576675803711E-2</v>
      </c>
      <c r="E79" s="218">
        <f>E76-E77-E78</f>
        <v>379519</v>
      </c>
      <c r="F79" s="217">
        <f>E79/E74</f>
        <v>7.868576675803711E-2</v>
      </c>
      <c r="G79" s="219"/>
      <c r="H79" s="218">
        <f>H76-H77-H78</f>
        <v>379519</v>
      </c>
      <c r="I79" s="217">
        <f>H79/H74</f>
        <v>7.868576675803711E-2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10228</v>
      </c>
      <c r="D81" s="101">
        <f>C81/$C$74</f>
        <v>2.1205737325435711E-3</v>
      </c>
      <c r="E81" s="214">
        <f>E74*F81</f>
        <v>10228</v>
      </c>
      <c r="F81" s="211">
        <f>I81</f>
        <v>2.1205737325435711E-3</v>
      </c>
      <c r="H81" s="256">
        <f>Inputs!F94</f>
        <v>10228</v>
      </c>
      <c r="I81" s="211">
        <f>H81/$H$74</f>
        <v>2.1205737325435711E-3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369291</v>
      </c>
      <c r="D83" s="223">
        <f>C83/$C$74</f>
        <v>7.6565193025493528E-2</v>
      </c>
      <c r="E83" s="224">
        <f>E79-E81-E82-E80</f>
        <v>369291</v>
      </c>
      <c r="F83" s="223">
        <f>E83/E74</f>
        <v>7.6565193025493528E-2</v>
      </c>
      <c r="H83" s="224">
        <f>H79-H81-H82-H80</f>
        <v>369291</v>
      </c>
      <c r="I83" s="223">
        <f>H83/$H$74</f>
        <v>7.6565193025493528E-2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276968.25</v>
      </c>
      <c r="D85" s="217">
        <f>C85/$C$74</f>
        <v>5.7423894769120153E-2</v>
      </c>
      <c r="E85" s="229">
        <f>E83*(1-F84)</f>
        <v>276968.25</v>
      </c>
      <c r="F85" s="217">
        <f>E85/E74</f>
        <v>5.7423894769120153E-2</v>
      </c>
      <c r="G85" s="219"/>
      <c r="H85" s="229">
        <f>H83*(1-I84)</f>
        <v>276968.25</v>
      </c>
      <c r="I85" s="217">
        <f>H85/$H$74</f>
        <v>5.7423894769120153E-2</v>
      </c>
      <c r="K85" s="75"/>
    </row>
    <row r="86" spans="1:11" ht="15" customHeight="1" x14ac:dyDescent="0.35">
      <c r="B86" s="3" t="s">
        <v>144</v>
      </c>
      <c r="C86" s="230">
        <f>C85*Data!C4/Common_Shares</f>
        <v>4.0854039471861746E-2</v>
      </c>
      <c r="D86" s="98"/>
      <c r="E86" s="231">
        <f>E85*Data!C4/Common_Shares</f>
        <v>4.0854039471861746E-2</v>
      </c>
      <c r="F86" s="98"/>
      <c r="H86" s="231">
        <f>H85*Data!C4/Common_Shares</f>
        <v>4.0854039471861746E-2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0.24317880638012943</v>
      </c>
      <c r="D87" s="98"/>
      <c r="E87" s="233">
        <f>E86*Exchange_Rate/Dashboard!G3</f>
        <v>0.24317880638012943</v>
      </c>
      <c r="F87" s="98"/>
      <c r="H87" s="233">
        <f>H86*Exchange_Rate/Dashboard!G3</f>
        <v>0.24317880638012943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1.21E-2</v>
      </c>
      <c r="D88" s="235">
        <f>C88/C86</f>
        <v>0.29617634281510608</v>
      </c>
      <c r="E88" s="255">
        <f>Inputs!E98</f>
        <v>1.21E-2</v>
      </c>
      <c r="F88" s="235">
        <f>E88/E86</f>
        <v>0.29617634281510608</v>
      </c>
      <c r="H88" s="255">
        <f>Inputs!F98</f>
        <v>1.21E-2</v>
      </c>
      <c r="I88" s="235">
        <f>H88/H86</f>
        <v>0.29617634281510608</v>
      </c>
      <c r="K88" s="75"/>
    </row>
    <row r="89" spans="1:11" ht="15" customHeight="1" x14ac:dyDescent="0.35">
      <c r="B89" s="3" t="s">
        <v>194</v>
      </c>
      <c r="C89" s="232">
        <f>C88*Exchange_Rate/Dashboard!G3</f>
        <v>7.2023809523809518E-2</v>
      </c>
      <c r="D89" s="98"/>
      <c r="E89" s="232">
        <f>E88*Exchange_Rate/Dashboard!G3</f>
        <v>7.2023809523809518E-2</v>
      </c>
      <c r="F89" s="98"/>
      <c r="H89" s="232">
        <f>H88*Exchange_Rate/Dashboard!G3</f>
        <v>7.2023809523809518E-2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1.7742168744326559</v>
      </c>
      <c r="H93" s="3" t="s">
        <v>183</v>
      </c>
      <c r="I93" s="237">
        <f>FV(H87,D93,0,-(H86/(C93-D94)))*Exchange_Rate</f>
        <v>1.7742168744326559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0.29056306311536723</v>
      </c>
      <c r="H94" s="3" t="s">
        <v>184</v>
      </c>
      <c r="I94" s="237">
        <f>FV(H89,D93,0,-(H88/(C93-D94)))*Exchange_Rate</f>
        <v>0.29056306311536723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6877178.9763366738</v>
      </c>
      <c r="D97" s="244"/>
      <c r="E97" s="245">
        <f>PV(C94,D93,0,-F93)</f>
        <v>1.0144142563427982</v>
      </c>
      <c r="F97" s="244"/>
      <c r="H97" s="245">
        <f>PV(C94,D93,0,-I93)</f>
        <v>1.0144142563427982</v>
      </c>
      <c r="I97" s="245">
        <f>PV(C93,D93,0,-I93)</f>
        <v>1.3285345355133567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-754939</v>
      </c>
      <c r="D99" s="248"/>
      <c r="E99" s="249">
        <f>IF(H99&gt;0,I64,H99)</f>
        <v>-0.11135683496158075</v>
      </c>
      <c r="F99" s="248"/>
      <c r="H99" s="249">
        <f>I64</f>
        <v>-0.11135683496158075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0.76759880817403481</v>
      </c>
      <c r="E100" s="251">
        <f>MAX(E97+H98+E99,0)</f>
        <v>0.90305742138121747</v>
      </c>
      <c r="F100" s="251">
        <f>(E100+H100)/2</f>
        <v>0.90305742138121747</v>
      </c>
      <c r="H100" s="251">
        <f>MAX(H97+H98+H99,0)</f>
        <v>0.90305742138121747</v>
      </c>
      <c r="I100" s="251">
        <f>MAX(I97+H98+H99,0)</f>
        <v>1.2171777005517759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0.14121081822781492</v>
      </c>
      <c r="E103" s="245">
        <f>PV(C94,D93,0,-F94)</f>
        <v>0.16613037438566461</v>
      </c>
      <c r="F103" s="251">
        <f>(E103+H103)/2</f>
        <v>0.16613037438566461</v>
      </c>
      <c r="H103" s="245">
        <f>PV(C94,D93,0,-I94)</f>
        <v>0.16613037438566461</v>
      </c>
      <c r="I103" s="251">
        <f>PV(C93,D93,0,-I94)</f>
        <v>0.21757377559423324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0.45440481320092485</v>
      </c>
      <c r="E106" s="245">
        <f>(E100+E103)/2</f>
        <v>0.53459389788344103</v>
      </c>
      <c r="F106" s="251">
        <f>(F100+F103)/2</f>
        <v>0.53459389788344103</v>
      </c>
      <c r="H106" s="245">
        <f>(H100+H103)/2</f>
        <v>0.53459389788344103</v>
      </c>
      <c r="I106" s="245">
        <f>(I100+I103)/2</f>
        <v>0.71737573807300459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