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4D321D1-7B5F-42B3-915B-110CA30822AF}" xr6:coauthVersionLast="47" xr6:coauthVersionMax="47" xr10:uidLastSave="{00000000-0000-0000-0000-000000000000}"/>
  <bookViews>
    <workbookView xWindow="2205" yWindow="2205" windowWidth="12690" windowHeight="7642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F44" i="4"/>
  <c r="E44" i="4"/>
  <c r="D44" i="4"/>
  <c r="C44" i="4"/>
  <c r="D34" i="4"/>
  <c r="C34" i="4"/>
  <c r="D33" i="4"/>
  <c r="C33" i="4"/>
  <c r="D32" i="4"/>
  <c r="C32" i="4"/>
  <c r="D27" i="4"/>
  <c r="C27" i="4"/>
  <c r="F96" i="4" l="1"/>
  <c r="E92" i="4"/>
  <c r="F97" i="4"/>
  <c r="D53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<sst xmlns="http://schemas.openxmlformats.org/spreadsheetml/2006/main" count="405" uniqueCount="289">
  <si>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</si>
  <si>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</si>
  <si>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</si>
  <si>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</si>
  <si>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</si>
  <si>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</si>
  <si>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</si>
  <si>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</si>
  <si>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</si>
  <si>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</si>
  <si>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</si>
  <si>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</si>
  <si>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</si>
  <si>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</si>
  <si>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</si>
  <si>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</si>
  <si>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</si>
  <si>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</si>
  <si>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</si>
  <si>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</si>
  <si>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</si>
  <si>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</si>
  <si>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</si>
  <si>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</si>
  <si>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</si>
  <si>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</si>
  <si>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</si>
  <si>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</si>
  <si>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</si>
  <si>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</si>
  <si>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</si>
  <si>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</si>
  <si>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</si>
  <si>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</si>
  <si>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</si>
  <si>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</si>
  <si>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</si>
  <si>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</si>
  <si>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</si>
  <si>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</si>
  <si>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</si>
  <si>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</si>
  <si>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</si>
  <si>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</si>
  <si>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</si>
  <si>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</si>
  <si>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</si>
  <si>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</si>
  <si>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</si>
  <si>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</si>
  <si>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</si>
  <si>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</si>
  <si>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</si>
  <si>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</si>
  <si>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</si>
  <si>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</si>
  <si>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</si>
  <si>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</si>
  <si>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</si>
  <si>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</si>
  <si>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</si>
  <si>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</si>
  <si>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</si>
  <si>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</si>
  <si>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</si>
  <si>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</si>
  <si>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</si>
  <si>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</si>
  <si>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</si>
  <si>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</si>
  <si>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</si>
  <si>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</si>
  <si>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</si>
  <si>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</si>
  <si>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</si>
  <si>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</si>
  <si>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</si>
  <si>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</si>
  <si>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</si>
  <si>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</si>
  <si>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</si>
  <si>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</si>
  <si>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</si>
  <si>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</si>
  <si>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</si>
  <si>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</si>
  <si>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</si>
  <si>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</si>
  <si>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</si>
  <si>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</si>
  <si>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</si>
  <si>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</si>
  <si>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</si>
  <si>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</si>
  <si>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</si>
  <si>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</si>
  <si>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</si>
  <si>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</si>
  <si>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</si>
  <si>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</si>
  <si>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</si>
  <si>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</si>
  <si>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</si>
  <si>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</si>
  <si>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</si>
  <si>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</si>
  <si>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</si>
  <si>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</si>
  <si>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</si>
  <si>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</si>
  <si>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</si>
  <si>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</si>
  <si>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</si>
  <si>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</si>
  <si>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</si>
  <si>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</si>
  <si>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</si>
  <si>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</si>
  <si>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</si>
  <si>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</si>
  <si>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</si>
  <si>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</si>
  <si>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</si>
  <si>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</si>
  <si>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</si>
  <si>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</si>
  <si>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</si>
  <si>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</si>
  <si>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</si>
  <si>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</si>
  <si>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</si>
  <si>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</si>
  <si>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</si>
  <si>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</si>
  <si>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</si>
  <si>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</si>
  <si>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</si>
  <si>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</si>
  <si>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</si>
  <si>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</si>
  <si>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</si>
  <si>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</si>
  <si>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</si>
  <si>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</si>
  <si>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</si>
  <si>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</si>
  <si>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</si>
  <si>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</si>
  <si>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</si>
  <si>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</si>
  <si>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</si>
  <si>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</si>
  <si>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</si>
  <si>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</si>
  <si>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</si>
  <si>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</si>
  <si>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</si>
  <si>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</si>
  <si>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</si>
  <si>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</si>
  <si>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</si>
  <si>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</si>
  <si>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</si>
  <si>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</si>
  <si>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</si>
  <si>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</si>
  <si>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</si>
  <si>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</si>
  <si>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</si>
  <si>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</si>
  <si>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</si>
  <si>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</si>
  <si>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</si>
  <si>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</si>
  <si>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</si>
  <si>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</si>
  <si>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</si>
  <si>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</si>
  <si>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</si>
  <si>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</si>
  <si>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</si>
  <si>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</si>
  <si>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</si>
  <si>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</si>
  <si>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</si>
  <si>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</si>
  <si>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</si>
  <si>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</si>
  <si>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</si>
  <si>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</si>
  <si>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</si>
  <si>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</si>
  <si>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</si>
  <si>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</si>
  <si>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</si>
  <si>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</si>
  <si>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</si>
  <si>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</si>
  <si>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</si>
  <si>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</si>
  <si>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</si>
  <si>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</si>
  <si>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</si>
  <si>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</si>
  <si>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</si>
  <si>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</si>
  <si>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</si>
  <si>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</si>
  <si>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</si>
  <si>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</si>
  <si>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</si>
  <si>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</si>
  <si>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</si>
  <si>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</si>
  <si>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</si>
  <si>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</si>
  <si>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</si>
  <si>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</si>
  <si>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</si>
  <si>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</si>
  <si>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</si>
  <si>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</si>
  <si>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</si>
  <si>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</si>
  <si>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</si>
  <si>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</si>
  <si>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</si>
  <si>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</si>
  <si>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</si>
  <si>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</si>
  <si>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</si>
  <si>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</si>
  <si>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</si>
  <si>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</si>
  <si>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</si>
  <si>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</si>
  <si>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</si>
  <si>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</si>
  <si>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</si>
  <si>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</si>
  <si>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</si>
  <si>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</si>
  <si>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</si>
  <si>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</si>
  <si>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</si>
  <si>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</si>
  <si>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</si>
  <si>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</si>
  <si>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</si>
  <si>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</si>
  <si>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</si>
  <si>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</si>
  <si>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</si>
  <si>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</si>
  <si>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</si>
  <si>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</si>
  <si>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</si>
  <si>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</si>
  <si>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</si>
  <si>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</si>
  <si>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</si>
  <si>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</si>
  <si>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</si>
  <si>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</si>
  <si>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</si>
  <si>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</si>
  <si>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</si>
  <si>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</si>
  <si>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</si>
  <si>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</si>
  <si>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</si>
  <si>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</si>
  <si>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</si>
  <si>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</si>
  <si>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Profit</t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</si>
  <si>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</si>
  <si>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</si>
  <si>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</si>
  <si>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</si>
  <si>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</si>
  <si>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</si>
  <si>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</si>
  <si>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</si>
  <si>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Unclear</t>
  </si>
  <si>
    <t>1112.HK</t>
  </si>
  <si>
    <t>H&amp;H INTL</t>
  </si>
  <si>
    <t xml:space="preserve">Superior Cycl. </t>
  </si>
  <si>
    <t>C0002</t>
  </si>
  <si>
    <t>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</si>
</sst>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284</v>
      </c>
      <c r="D4" s="66"/>
    </row>
    <row r="5" spans="1:5" x14ac:dyDescent="0.35">
      <c r="B5" s="46" t="s">
        <v>168</v>
      </c>
      <c r="C5" s="67" t="s">
        <v>285</v>
      </c>
    </row>
    <row r="6" spans="1:5" x14ac:dyDescent="0.35">
      <c r="B6" s="46" t="s">
        <v>268</v>
      </c>
      <c r="C6" s="68">
        <v>45637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286</v>
      </c>
    </row>
    <row r="9" spans="1:5" x14ac:dyDescent="0.35">
      <c r="B9" s="39" t="s">
        <v>189</v>
      </c>
      <c r="C9" s="119" t="s">
        <v>287</v>
      </c>
    </row>
    <row r="10" spans="1:5" x14ac:dyDescent="0.35">
      <c r="B10" s="39" t="s">
        <v>190</v>
      </c>
      <c r="C10" s="70">
        <v>645561354</v>
      </c>
    </row>
    <row r="11" spans="1:5" x14ac:dyDescent="0.35">
      <c r="B11" s="39" t="s">
        <v>191</v>
      </c>
      <c r="C11" s="69" t="s">
        <v>288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221</v>
      </c>
      <c r="C15" s="117" t="s">
        <v>282</v>
      </c>
    </row>
    <row r="16" spans="1:5" x14ac:dyDescent="0.35">
      <c r="B16" s="74" t="s">
        <v>88</v>
      </c>
      <c r="C16" s="120">
        <v>0.25</v>
      </c>
      <c r="D16" s="75"/>
      <c r="E16" s="25" t="s">
        <v>251</v>
      </c>
    </row>
    <row r="17" spans="2:13" x14ac:dyDescent="0.35">
      <c r="B17" s="56" t="s">
        <v>196</v>
      </c>
      <c r="C17" s="121" t="s">
        <v>214</v>
      </c>
      <c r="D17" s="75"/>
    </row>
    <row r="18" spans="2:13" x14ac:dyDescent="0.35">
      <c r="B18" s="56" t="s">
        <v>209</v>
      </c>
      <c r="C18" s="121" t="s">
        <v>214</v>
      </c>
      <c r="D18" s="75"/>
    </row>
    <row r="19" spans="2:13" x14ac:dyDescent="0.35">
      <c r="B19" s="56" t="s">
        <v>210</v>
      </c>
      <c r="C19" s="121" t="s">
        <v>214</v>
      </c>
      <c r="D19" s="75"/>
    </row>
    <row r="20" spans="2:13" x14ac:dyDescent="0.35">
      <c r="B20" s="57" t="s">
        <v>199</v>
      </c>
      <c r="C20" s="121" t="s">
        <v>214</v>
      </c>
      <c r="D20" s="75"/>
    </row>
    <row r="21" spans="2:13" x14ac:dyDescent="0.35">
      <c r="B21" s="2" t="s">
        <v>202</v>
      </c>
      <c r="C21" s="121" t="s">
        <v>214</v>
      </c>
      <c r="D21" s="75"/>
    </row>
    <row r="22" spans="2:13" ht="69.75" x14ac:dyDescent="0.35">
      <c r="B22" s="59" t="s">
        <v>201</v>
      </c>
      <c r="C22" s="122" t="s">
        <v>283</v>
      </c>
      <c r="D22" s="75"/>
    </row>
    <row r="24" spans="2:13" x14ac:dyDescent="0.35">
      <c r="B24" s="76" t="s">
        <v>278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13926470</v>
      </c>
      <c r="D25" s="77">
        <v>12775914</v>
      </c>
      <c r="E25" s="77">
        <v>11547825</v>
      </c>
      <c r="F25" s="77">
        <v>11194679</v>
      </c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5632214</v>
      </c>
      <c r="D26" s="78">
        <v>5072426</v>
      </c>
      <c r="E26" s="78">
        <v>4299843</v>
      </c>
      <c r="F26" s="78">
        <v>4007688</v>
      </c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f>6448133+336404</f>
        <v>6784537</v>
      </c>
      <c r="D27" s="78">
        <f>5962916+382167</f>
        <v>6345083</v>
      </c>
      <c r="E27" s="78">
        <v>5667589</v>
      </c>
      <c r="F27" s="78">
        <v>5283088</v>
      </c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>
        <v>773489</v>
      </c>
      <c r="D29" s="78">
        <v>525659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276</v>
      </c>
      <c r="C30" s="302"/>
      <c r="D30" s="302"/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>
        <f>2337135-1652990</f>
        <v>684145</v>
      </c>
      <c r="D32" s="78">
        <f>2143040-1941920</f>
        <v>201120</v>
      </c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>
        <f>69713+36500+196040</f>
        <v>302253</v>
      </c>
      <c r="D33" s="78">
        <f>72431+38576+200276</f>
        <v>311283</v>
      </c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>
        <f>58067+32908</f>
        <v>90975</v>
      </c>
      <c r="D34" s="78">
        <f>44890+51361</f>
        <v>96251</v>
      </c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/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f>0.18+0.44</f>
        <v>0.62</v>
      </c>
      <c r="D44" s="81">
        <f>0.38+0.25</f>
        <v>0.63</v>
      </c>
      <c r="E44" s="81">
        <f>0.17+0.37</f>
        <v>0.54</v>
      </c>
      <c r="F44" s="81">
        <f>0.39+0.63</f>
        <v>1.02</v>
      </c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>
        <f>IF(C44="","",C44*Exchange_Rate/Dashboard!$G$3)</f>
        <v>7.2879324082292016E-2</v>
      </c>
      <c r="D45" s="82">
        <f>IF(D44="","",D44*Exchange_Rate/Dashboard!$G$3)</f>
        <v>7.405479705136124E-2</v>
      </c>
      <c r="E45" s="82">
        <f>IF(E44="","",E44*Exchange_Rate/Dashboard!$G$3)</f>
        <v>6.347554032973822E-2</v>
      </c>
      <c r="F45" s="82">
        <f>IF(F44="","",F44*Exchange_Rate/Dashboard!$G$3)</f>
        <v>0.11989824284506105</v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/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/>
      <c r="D50" s="109">
        <f>D51</f>
        <v>0.6</v>
      </c>
      <c r="E50" s="260"/>
    </row>
    <row r="51" spans="2:5" x14ac:dyDescent="0.35">
      <c r="B51" s="9" t="s">
        <v>34</v>
      </c>
      <c r="C51" s="86"/>
      <c r="D51" s="109">
        <v>0.6</v>
      </c>
      <c r="E51" s="260"/>
    </row>
    <row r="52" spans="2:5" x14ac:dyDescent="0.35">
      <c r="B52" s="9" t="s">
        <v>36</v>
      </c>
      <c r="C52" s="86"/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226</v>
      </c>
      <c r="C54" s="86"/>
      <c r="D54" s="109">
        <v>0.1</v>
      </c>
      <c r="E54" s="260"/>
    </row>
    <row r="55" spans="2:5" x14ac:dyDescent="0.35">
      <c r="B55" s="9" t="s">
        <v>39</v>
      </c>
      <c r="C55" s="86"/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225</v>
      </c>
      <c r="C64" s="86"/>
      <c r="D64" s="109">
        <v>0.4</v>
      </c>
      <c r="E64" s="260"/>
    </row>
    <row r="65" spans="2:5" x14ac:dyDescent="0.35">
      <c r="B65" s="9" t="s">
        <v>62</v>
      </c>
      <c r="C65" s="86"/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0.2</v>
      </c>
      <c r="E66" s="261" t="s">
        <v>63</v>
      </c>
    </row>
    <row r="67" spans="2:5" x14ac:dyDescent="0.35">
      <c r="B67" s="2" t="s">
        <v>41</v>
      </c>
      <c r="C67" s="86"/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/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/>
      <c r="D70" s="109">
        <v>0.05</v>
      </c>
      <c r="E70" s="260"/>
    </row>
    <row r="71" spans="2:5" x14ac:dyDescent="0.35">
      <c r="B71" s="9" t="s">
        <v>67</v>
      </c>
      <c r="C71" s="86"/>
      <c r="D71" s="109">
        <f>D58</f>
        <v>0.9</v>
      </c>
      <c r="E71" s="260"/>
    </row>
    <row r="72" spans="2:5" ht="12" thickBot="1" x14ac:dyDescent="0.4">
      <c r="B72" s="89" t="s">
        <v>68</v>
      </c>
      <c r="C72" s="90"/>
      <c r="D72" s="111">
        <v>0</v>
      </c>
      <c r="E72" s="262"/>
    </row>
    <row r="73" spans="2:5" x14ac:dyDescent="0.35">
      <c r="B73" s="9" t="s">
        <v>31</v>
      </c>
      <c r="C73" s="86"/>
    </row>
    <row r="74" spans="2:5" x14ac:dyDescent="0.35">
      <c r="B74" s="9" t="s">
        <v>32</v>
      </c>
      <c r="C74" s="86"/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/>
    </row>
    <row r="78" spans="2:5" ht="12" thickTop="1" x14ac:dyDescent="0.35">
      <c r="B78" s="9" t="s">
        <v>54</v>
      </c>
      <c r="C78" s="86"/>
    </row>
    <row r="79" spans="2:5" x14ac:dyDescent="0.35">
      <c r="B79" s="9" t="s">
        <v>56</v>
      </c>
      <c r="C79" s="86"/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277</v>
      </c>
      <c r="C82" s="79"/>
    </row>
    <row r="83" spans="2:8" hidden="1" x14ac:dyDescent="0.35">
      <c r="B83" s="300" t="s">
        <v>246</v>
      </c>
      <c r="C83" s="79"/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274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1000CNY)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13926470</v>
      </c>
      <c r="D91" s="98"/>
      <c r="E91" s="99">
        <f>C91</f>
        <v>13926470</v>
      </c>
      <c r="F91" s="99">
        <f>C91</f>
        <v>13926470</v>
      </c>
    </row>
    <row r="92" spans="2:8" x14ac:dyDescent="0.35">
      <c r="B92" s="100" t="s">
        <v>97</v>
      </c>
      <c r="C92" s="97">
        <f>C26</f>
        <v>5632214</v>
      </c>
      <c r="D92" s="101">
        <f>C92/C91</f>
        <v>0.4044250983917676</v>
      </c>
      <c r="E92" s="102">
        <f>E91*D92</f>
        <v>5632214</v>
      </c>
      <c r="F92" s="102">
        <f>F91*D92</f>
        <v>5632214</v>
      </c>
    </row>
    <row r="93" spans="2:8" x14ac:dyDescent="0.35">
      <c r="B93" s="100" t="s">
        <v>216</v>
      </c>
      <c r="C93" s="97">
        <f>C27+C28</f>
        <v>6784537</v>
      </c>
      <c r="D93" s="101">
        <f>C93/C91</f>
        <v>0.48716846408314524</v>
      </c>
      <c r="E93" s="102">
        <f>E91*D93</f>
        <v>6784537</v>
      </c>
      <c r="F93" s="102">
        <f>F91*D93</f>
        <v>6784537</v>
      </c>
    </row>
    <row r="94" spans="2:8" x14ac:dyDescent="0.35">
      <c r="B94" s="100" t="s">
        <v>222</v>
      </c>
      <c r="C94" s="97">
        <f>C29</f>
        <v>773489</v>
      </c>
      <c r="D94" s="101">
        <f>C94/C91</f>
        <v>5.5540923148507844E-2</v>
      </c>
      <c r="E94" s="103"/>
      <c r="F94" s="102">
        <f>F91*D94</f>
        <v>773489</v>
      </c>
    </row>
    <row r="95" spans="2:8" x14ac:dyDescent="0.35">
      <c r="B95" s="18" t="s">
        <v>215</v>
      </c>
      <c r="C95" s="97">
        <f>ABS(MAX(C34,0)-C33)</f>
        <v>211278</v>
      </c>
      <c r="D95" s="101">
        <f>C95/C91</f>
        <v>1.517096579391619E-2</v>
      </c>
      <c r="E95" s="102">
        <f>E91*D95</f>
        <v>211278</v>
      </c>
      <c r="F95" s="102">
        <f>F91*D95</f>
        <v>211278</v>
      </c>
    </row>
    <row r="96" spans="2:8" x14ac:dyDescent="0.35">
      <c r="B96" s="18" t="s">
        <v>101</v>
      </c>
      <c r="C96" s="97">
        <f>MAX(C32,0)</f>
        <v>684145</v>
      </c>
      <c r="D96" s="101">
        <f>C96/C91</f>
        <v>4.9125514218606725E-2</v>
      </c>
      <c r="E96" s="103"/>
      <c r="F96" s="102">
        <f>F91*0</f>
        <v>0</v>
      </c>
    </row>
    <row r="97" spans="2:6" x14ac:dyDescent="0.35">
      <c r="B97" s="93" t="s">
        <v>150</v>
      </c>
      <c r="C97" s="97">
        <f>MAX(C31,0)/(1-C16)</f>
        <v>0</v>
      </c>
      <c r="D97" s="101">
        <f>C97/C91</f>
        <v>0</v>
      </c>
      <c r="E97" s="103"/>
      <c r="F97" s="102">
        <f>F91*D97</f>
        <v>0</v>
      </c>
    </row>
    <row r="98" spans="2:6" x14ac:dyDescent="0.35">
      <c r="B98" s="8" t="s">
        <v>180</v>
      </c>
      <c r="C98" s="104">
        <f>C44</f>
        <v>0.62</v>
      </c>
      <c r="D98" s="105"/>
      <c r="E98" s="106">
        <f>F98</f>
        <v>0.62</v>
      </c>
      <c r="F98" s="106">
        <f>C98</f>
        <v>0.62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1112.HK : H&amp;H INTL</v>
      </c>
      <c r="D2" s="3"/>
      <c r="E2" s="7"/>
      <c r="F2" s="7"/>
      <c r="G2" s="318" t="str">
        <f>IF(Inputs!D4="","",Inputs!D4)</f>
        <v/>
      </c>
      <c r="H2" s="318"/>
    </row>
    <row r="3" spans="1:10" ht="15.75" customHeight="1" x14ac:dyDescent="0.35">
      <c r="B3" s="9" t="s">
        <v>167</v>
      </c>
      <c r="C3" s="316" t="str">
        <f>Inputs!C4</f>
        <v>1112.HK</v>
      </c>
      <c r="D3" s="317"/>
      <c r="E3" s="3"/>
      <c r="F3" s="9" t="s">
        <v>1</v>
      </c>
      <c r="G3" s="10">
        <v>9.0500000000000007</v>
      </c>
      <c r="H3" s="11" t="s">
        <v>256</v>
      </c>
    </row>
    <row r="4" spans="1:10" ht="15.75" customHeight="1" x14ac:dyDescent="0.35">
      <c r="B4" s="12" t="s">
        <v>168</v>
      </c>
      <c r="C4" s="318" t="str">
        <f>Inputs!C5</f>
        <v>H&amp;H INTL</v>
      </c>
      <c r="D4" s="319"/>
      <c r="E4" s="3"/>
      <c r="F4" s="9" t="s">
        <v>2</v>
      </c>
      <c r="G4" s="322">
        <f>Inputs!C10</f>
        <v>645561354</v>
      </c>
      <c r="H4" s="322"/>
      <c r="I4" s="14"/>
    </row>
    <row r="5" spans="1:10" ht="15.75" customHeight="1" x14ac:dyDescent="0.35">
      <c r="B5" s="9" t="s">
        <v>145</v>
      </c>
      <c r="C5" s="320">
        <f>Inputs!C6</f>
        <v>45637</v>
      </c>
      <c r="D5" s="321"/>
      <c r="E5" s="16"/>
      <c r="F5" s="12" t="s">
        <v>91</v>
      </c>
      <c r="G5" s="314">
        <f>G3*G4/1000000</f>
        <v>5842.3302537000009</v>
      </c>
      <c r="H5" s="314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5" t="str">
        <f>Inputs!C11</f>
        <v>CNY</v>
      </c>
      <c r="H6" s="315"/>
      <c r="I6" s="17"/>
    </row>
    <row r="7" spans="1:10" ht="15.75" customHeight="1" x14ac:dyDescent="0.35">
      <c r="B7" s="8" t="s">
        <v>165</v>
      </c>
      <c r="C7" s="123" t="str">
        <f>Inputs!C8</f>
        <v xml:space="preserve">Superior Cycl. </v>
      </c>
      <c r="D7" s="123" t="str">
        <f>Inputs!C9</f>
        <v>C0002</v>
      </c>
      <c r="E7" s="3"/>
      <c r="F7" s="12" t="s">
        <v>5</v>
      </c>
      <c r="G7" s="21">
        <v>1.0638030370076497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3" t="s">
        <v>257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CN</v>
      </c>
      <c r="F16" s="25" t="s">
        <v>155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233</v>
      </c>
      <c r="C20" s="31" t="e">
        <f>C21*C22*C23</f>
        <v>#DIV/0!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0.10840643752508712</v>
      </c>
      <c r="F21" s="3"/>
      <c r="G21" s="34"/>
    </row>
    <row r="22" spans="1:8" ht="15.75" customHeight="1" x14ac:dyDescent="0.35">
      <c r="B22" s="35" t="s">
        <v>244</v>
      </c>
      <c r="C22" s="36" t="e">
        <f>Data!C50</f>
        <v>#DIV/0!</v>
      </c>
      <c r="F22" s="83" t="s">
        <v>258</v>
      </c>
      <c r="G22" s="285"/>
      <c r="H22" s="285"/>
    </row>
    <row r="23" spans="1:8" ht="15.75" customHeight="1" thickBot="1" x14ac:dyDescent="0.4">
      <c r="B23" s="37" t="s">
        <v>250</v>
      </c>
      <c r="C23" s="38" t="e">
        <f>1/Data!C55</f>
        <v>#DIV/0!</v>
      </c>
      <c r="F23" s="39" t="s">
        <v>163</v>
      </c>
      <c r="G23" s="40" t="e">
        <f>G3/(Data!C36*Data!C4/Common_Shares*Exchange_Rate)</f>
        <v>#DIV/0!</v>
      </c>
    </row>
    <row r="24" spans="1:8" ht="15.75" customHeight="1" x14ac:dyDescent="0.35">
      <c r="B24" s="41" t="s">
        <v>239</v>
      </c>
      <c r="C24" s="42">
        <f>Fin_Analysis!I81</f>
        <v>5.5540923148507844E-2</v>
      </c>
      <c r="F24" s="39" t="s">
        <v>224</v>
      </c>
      <c r="G24" s="43">
        <f>G3/(Fin_Analysis!H86*G7)</f>
        <v>13.949030347383447</v>
      </c>
    </row>
    <row r="25" spans="1:8" ht="15.75" customHeight="1" x14ac:dyDescent="0.35">
      <c r="B25" s="28" t="s">
        <v>240</v>
      </c>
      <c r="C25" s="44">
        <f>Fin_Analysis!I80</f>
        <v>0</v>
      </c>
      <c r="F25" s="39" t="s">
        <v>151</v>
      </c>
      <c r="G25" s="44">
        <f>Fin_Analysis!I88</f>
        <v>1.0165959033206846</v>
      </c>
    </row>
    <row r="26" spans="1:8" ht="15.75" customHeight="1" x14ac:dyDescent="0.35">
      <c r="B26" s="45" t="s">
        <v>241</v>
      </c>
      <c r="C26" s="44">
        <f>Fin_Analysis!I80+Fin_Analysis!I82</f>
        <v>1.517096579391619E-2</v>
      </c>
      <c r="F26" s="46" t="s">
        <v>166</v>
      </c>
      <c r="G26" s="47">
        <f>Fin_Analysis!H88*Exchange_Rate/G3</f>
        <v>7.2879324082292016E-2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2" t="s">
        <v>223</v>
      </c>
      <c r="H28" s="312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6.9319734658034076</v>
      </c>
      <c r="D29" s="54">
        <f>G29*(1+G20)</f>
        <v>12.056802468847811</v>
      </c>
      <c r="E29" s="3"/>
      <c r="F29" s="55">
        <f>IF(Fin_Analysis!C108="Profit",Fin_Analysis!F100,IF(Fin_Analysis!C108="Dividend",Fin_Analysis!F103,Fin_Analysis!F106))</f>
        <v>8.1552629009451856</v>
      </c>
      <c r="G29" s="313">
        <f>IF(Fin_Analysis!C108="Profit",Fin_Analysis!I100,IF(Fin_Analysis!C108="Dividend",Fin_Analysis!I103,Fin_Analysis!I106))</f>
        <v>10.484176059867663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unclear</v>
      </c>
    </row>
    <row r="34" spans="1:4" ht="15.75" customHeight="1" x14ac:dyDescent="0.35">
      <c r="B34" s="57" t="s">
        <v>197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257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unclear</v>
      </c>
    </row>
    <row r="37" spans="1:4" ht="15.75" customHeight="1" x14ac:dyDescent="0.35">
      <c r="B37" s="56" t="s">
        <v>210</v>
      </c>
      <c r="C37" s="112" t="str">
        <f>Inputs!C19</f>
        <v>unclear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unclear</v>
      </c>
    </row>
    <row r="40" spans="1:4" ht="15.75" customHeight="1" x14ac:dyDescent="0.35">
      <c r="B40" s="2" t="s">
        <v>202</v>
      </c>
      <c r="C40" s="112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:H2"/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1509719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</v>
      </c>
      <c r="D4" s="2" t="str">
        <f>Dashboard!G6</f>
        <v>CNY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13926470</v>
      </c>
      <c r="D6" s="142">
        <f>IF(Inputs!D25="","",Inputs!D25)</f>
        <v>12775914</v>
      </c>
      <c r="E6" s="142">
        <f>IF(Inputs!E25="","",Inputs!E25)</f>
        <v>11547825</v>
      </c>
      <c r="F6" s="142">
        <f>IF(Inputs!F25="","",Inputs!F25)</f>
        <v>11194679</v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9.0056648784580196E-2</v>
      </c>
      <c r="D7" s="143">
        <f t="shared" si="1"/>
        <v>0.10634807853426942</v>
      </c>
      <c r="E7" s="143">
        <f t="shared" si="1"/>
        <v>3.1545879966723422E-2</v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5632214</v>
      </c>
      <c r="D8" s="144">
        <f>IF(Inputs!D26="","",Inputs!D26)</f>
        <v>5072426</v>
      </c>
      <c r="E8" s="144">
        <f>IF(Inputs!E26="","",Inputs!E26)</f>
        <v>4299843</v>
      </c>
      <c r="F8" s="144">
        <f>IF(Inputs!F26="","",Inputs!F26)</f>
        <v>4007688</v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8294256</v>
      </c>
      <c r="D9" s="273">
        <f t="shared" si="2"/>
        <v>7703488</v>
      </c>
      <c r="E9" s="273">
        <f t="shared" si="2"/>
        <v>7247982</v>
      </c>
      <c r="F9" s="273">
        <f t="shared" si="2"/>
        <v>7186991</v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6784537</v>
      </c>
      <c r="D10" s="144">
        <f>IF(Inputs!D27="","",Inputs!D27)</f>
        <v>6345083</v>
      </c>
      <c r="E10" s="144">
        <f>IF(Inputs!E27="","",Inputs!E27)</f>
        <v>5667589</v>
      </c>
      <c r="F10" s="144">
        <f>IF(Inputs!F27="","",Inputs!F27)</f>
        <v>5283088</v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 t="str">
        <f>IF(Inputs!C31="","",MAX(Inputs!C31,0)/(1-Fin_Analysis!$I$84))</f>
        <v/>
      </c>
      <c r="D12" s="144" t="str">
        <f>IF(Inputs!D31="","",MAX(Inputs!D31,0)/(1-Fin_Analysis!$I$84))</f>
        <v/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0.10840643752508712</v>
      </c>
      <c r="D13" s="292">
        <f t="shared" si="3"/>
        <v>0.10632546524655692</v>
      </c>
      <c r="E13" s="292">
        <f t="shared" si="3"/>
        <v>0.13685633441795317</v>
      </c>
      <c r="F13" s="292">
        <f t="shared" si="3"/>
        <v>0.17007213873662658</v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1509719</v>
      </c>
      <c r="D14" s="294">
        <f t="shared" ref="D14:M14" si="4">IF(D6="","",D9-D10-MAX(D11,0)-MAX(D12,0))</f>
        <v>1358405</v>
      </c>
      <c r="E14" s="294">
        <f t="shared" si="4"/>
        <v>1580393</v>
      </c>
      <c r="F14" s="294">
        <f t="shared" si="4"/>
        <v>1903903</v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0.11139093274833352</v>
      </c>
      <c r="D15" s="296">
        <f t="shared" ref="D15:M15" si="5">IF(E14="","",IF(ABS(D14+E14)=ABS(D14)+ABS(E14),IF(D14&lt;0,-1,1)*(D14-E14)/E14,"Turn"))</f>
        <v>-0.14046379603048104</v>
      </c>
      <c r="E15" s="296">
        <f t="shared" si="5"/>
        <v>-0.16991937089231962</v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279</v>
      </c>
      <c r="C16" s="147" t="str">
        <f>IF(C17="","",C17-C14)</f>
        <v/>
      </c>
      <c r="D16" s="147" t="str">
        <f t="shared" ref="D16:M16" si="6">IF(D17="","",D17-D14)</f>
        <v/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276</v>
      </c>
      <c r="C17" s="307" t="str">
        <f>IF(Inputs!C30="","",Inputs!C30)</f>
        <v/>
      </c>
      <c r="D17" s="307" t="str">
        <f>IF(Inputs!D30="","",Inputs!D30)</f>
        <v/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>
        <f>IF(Inputs!C32="","",Inputs!C32)</f>
        <v>684145</v>
      </c>
      <c r="D18" s="144">
        <f>IF(Inputs!D32="","",Inputs!D32)</f>
        <v>201120</v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>
        <f>IF(Inputs!C29="","",Inputs!C29)</f>
        <v>773489</v>
      </c>
      <c r="D19" s="144">
        <f>IF(Inputs!D29="","",Inputs!D29)</f>
        <v>525659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>
        <f t="shared" ref="C20:M20" si="7">IF(OR(C6="",C21=""),"",C21/C6)</f>
        <v>2.170348982908088E-2</v>
      </c>
      <c r="D20" s="227">
        <f t="shared" si="7"/>
        <v>2.4364832136471802E-2</v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>
        <f>IF(Inputs!C33="","",Inputs!C33)</f>
        <v>302253</v>
      </c>
      <c r="D21" s="144">
        <f>IF(Inputs!D33="","",Inputs!D33)</f>
        <v>311283</v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6.5325240351646902E-3</v>
      </c>
      <c r="D22" s="227">
        <f t="shared" si="8"/>
        <v>7.5337858410756365E-3</v>
      </c>
      <c r="E22" s="227">
        <f t="shared" si="8"/>
        <v>0</v>
      </c>
      <c r="F22" s="227">
        <f t="shared" si="8"/>
        <v>0</v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>
        <f>IF(Inputs!C34="","",Inputs!C34)</f>
        <v>90975</v>
      </c>
      <c r="D23" s="144">
        <f>IF(Inputs!D34="","",Inputs!D34)</f>
        <v>96251</v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280</v>
      </c>
      <c r="C24" s="309">
        <f t="shared" ref="C24:M24" si="9">IF(C6="","",C14-MAX(C18,0)-MAX(C19,0)-ABS(MAX(C23,0)-MAX(C21,0)))</f>
        <v>-159193</v>
      </c>
      <c r="D24" s="309">
        <f t="shared" si="9"/>
        <v>416594</v>
      </c>
      <c r="E24" s="309">
        <f t="shared" si="9"/>
        <v>1580393</v>
      </c>
      <c r="F24" s="309">
        <f t="shared" si="9"/>
        <v>1903903</v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-8.5732242269577295E-3</v>
      </c>
      <c r="D25" s="143">
        <f t="shared" si="10"/>
        <v>2.445582366944549E-2</v>
      </c>
      <c r="E25" s="143">
        <f t="shared" si="10"/>
        <v>0.10264225081346487</v>
      </c>
      <c r="F25" s="143">
        <f t="shared" si="10"/>
        <v>0.12755410405246992</v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281</v>
      </c>
      <c r="C26" s="275">
        <f>IF(C6="","",C24*(1-Fin_Analysis!$I$84))</f>
        <v>-119394.75</v>
      </c>
      <c r="D26" s="276">
        <f>IF(D6="","",D24*(1-Fin_Analysis!$I$84))</f>
        <v>312445.5</v>
      </c>
      <c r="E26" s="276">
        <f>IF(E6="","",E24*(1-Fin_Analysis!$I$84))</f>
        <v>1185294.75</v>
      </c>
      <c r="F26" s="276">
        <f>IF(F6="","",F24*(1-Fin_Analysis!$I$84))</f>
        <v>1427927.25</v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 t="str">
        <f t="shared" ref="C27:M27" si="11">IF(D26="","",IF(ABS(C26+D26)=ABS(C26)+ABS(D26),IF(C26&lt;0,-1,1)*(C26-D26)/D26,"Turn"))</f>
        <v>Turn</v>
      </c>
      <c r="D27" s="305">
        <f t="shared" si="11"/>
        <v>-0.73639847810006753</v>
      </c>
      <c r="E27" s="305">
        <f t="shared" si="11"/>
        <v>-0.16991937089231962</v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0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0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0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0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0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 t="e">
        <f>IF(C6="","",C14/MAX(C39,0))</f>
        <v>#DIV/0!</v>
      </c>
      <c r="D40" s="148" t="e">
        <f>IF(D6="","",D14/MAX(D39,0))</f>
        <v>#DIV/0!</v>
      </c>
      <c r="E40" s="148" t="e">
        <f>IF(E6="","",E14/MAX(E39,0))</f>
        <v>#DIV/0!</v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0.4044250983917676</v>
      </c>
      <c r="D42" s="150">
        <f t="shared" si="35"/>
        <v>0.39703038076179914</v>
      </c>
      <c r="E42" s="150">
        <f t="shared" si="35"/>
        <v>0.37235089724688414</v>
      </c>
      <c r="F42" s="150">
        <f t="shared" si="35"/>
        <v>0.35799936737801952</v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0.48716846408314524</v>
      </c>
      <c r="D43" s="146">
        <f t="shared" si="36"/>
        <v>0.49664415399164397</v>
      </c>
      <c r="E43" s="146">
        <f t="shared" si="36"/>
        <v>0.49079276833516267</v>
      </c>
      <c r="F43" s="146">
        <f t="shared" si="36"/>
        <v>0.47192849388535391</v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4.9125514218606725E-2</v>
      </c>
      <c r="D44" s="146">
        <f t="shared" si="37"/>
        <v>1.5742122246596213E-2</v>
      </c>
      <c r="E44" s="146">
        <f t="shared" si="37"/>
        <v>0</v>
      </c>
      <c r="F44" s="146">
        <f t="shared" si="37"/>
        <v>0</v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5.5540923148507844E-2</v>
      </c>
      <c r="D45" s="146">
        <f t="shared" si="38"/>
        <v>4.1144531811970558E-2</v>
      </c>
      <c r="E45" s="146">
        <f t="shared" si="38"/>
        <v>0</v>
      </c>
      <c r="F45" s="146">
        <f t="shared" si="38"/>
        <v>0</v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0</v>
      </c>
      <c r="D46" s="146">
        <f t="shared" si="39"/>
        <v>0</v>
      </c>
      <c r="E46" s="146">
        <f t="shared" si="39"/>
        <v>0</v>
      </c>
      <c r="F46" s="146">
        <f t="shared" si="39"/>
        <v>0</v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1.517096579391619E-2</v>
      </c>
      <c r="D47" s="146">
        <f t="shared" si="40"/>
        <v>1.6831046295396165E-2</v>
      </c>
      <c r="E47" s="146">
        <f t="shared" si="40"/>
        <v>0</v>
      </c>
      <c r="F47" s="146">
        <f t="shared" si="40"/>
        <v>0</v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-1.1430965635943638E-2</v>
      </c>
      <c r="D48" s="281">
        <f t="shared" si="41"/>
        <v>3.2607764892593989E-2</v>
      </c>
      <c r="E48" s="281">
        <f t="shared" si="41"/>
        <v>0.13685633441795317</v>
      </c>
      <c r="F48" s="281">
        <f t="shared" si="41"/>
        <v>0.17007213873662658</v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 t="e">
        <f t="shared" ref="C50:M50" si="42">IF(C6="","",C6/C29)</f>
        <v>#DIV/0!</v>
      </c>
      <c r="D50" s="153" t="e">
        <f t="shared" si="42"/>
        <v>#VALUE!</v>
      </c>
      <c r="E50" s="153" t="e">
        <f t="shared" si="42"/>
        <v>#VALUE!</v>
      </c>
      <c r="F50" s="153" t="e">
        <f t="shared" si="42"/>
        <v>#VALUE!</v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>
        <f t="shared" ref="C53:M53" si="45">IF(D6="","",C18/(C6-D6))</f>
        <v>0.59462120922406214</v>
      </c>
      <c r="D53" s="146">
        <f t="shared" si="45"/>
        <v>0.16376663254861823</v>
      </c>
      <c r="E53" s="146" t="e">
        <f t="shared" si="45"/>
        <v>#VALUE!</v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 t="e">
        <f t="shared" ref="C55:M55" si="46">IF(C36="","",(C36-C37)/C29)</f>
        <v>#DIV/0!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-4.858812887501335</v>
      </c>
      <c r="D57" s="146">
        <f t="shared" si="48"/>
        <v>1.2618016582091918</v>
      </c>
      <c r="E57" s="146" t="str">
        <f t="shared" si="48"/>
        <v>-</v>
      </c>
      <c r="F57" s="146" t="str">
        <f t="shared" si="48"/>
        <v>-</v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 t="e">
        <f t="shared" ref="C60:M60" si="50">IF(C14="","",C14/(C36-C37))</f>
        <v>#DIV/0!</v>
      </c>
      <c r="D60" s="156" t="e">
        <f t="shared" si="50"/>
        <v>#VALUE!</v>
      </c>
      <c r="E60" s="156" t="e">
        <f t="shared" si="50"/>
        <v>#VALUE!</v>
      </c>
      <c r="F60" s="156" t="e">
        <f t="shared" si="50"/>
        <v>#VALUE!</v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 t="e">
        <f t="shared" ref="C61:M61" si="51">IF(C24="","",C24/(C36-C37))</f>
        <v>#DIV/0!</v>
      </c>
      <c r="D61" s="156" t="e">
        <f t="shared" si="51"/>
        <v>#VALUE!</v>
      </c>
      <c r="E61" s="156" t="e">
        <f t="shared" si="51"/>
        <v>#VALUE!</v>
      </c>
      <c r="F61" s="156" t="e">
        <f t="shared" si="51"/>
        <v>#VALUE!</v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261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0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0</v>
      </c>
      <c r="K3" s="75"/>
    </row>
    <row r="4" spans="1:11" ht="15" customHeight="1" x14ac:dyDescent="0.35">
      <c r="B4" s="9" t="s">
        <v>21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69">
        <f>(E49-I49-E53)</f>
        <v>0</v>
      </c>
      <c r="E6" s="170" t="e">
        <f>1-D6/D3</f>
        <v>#DIV/0!</v>
      </c>
      <c r="F6" s="3"/>
      <c r="G6" s="3"/>
      <c r="H6" s="2" t="s">
        <v>24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25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260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273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31</v>
      </c>
      <c r="I11" s="175">
        <f>Inputs!C73</f>
        <v>0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0</v>
      </c>
      <c r="J12" s="3"/>
      <c r="K12" s="75"/>
    </row>
    <row r="13" spans="1:11" ht="11.65" x14ac:dyDescent="0.35">
      <c r="B13" s="9" t="s">
        <v>105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0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47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48</v>
      </c>
      <c r="I25" s="168" t="e">
        <f>E28/I28</f>
        <v>#DIV/0!</v>
      </c>
    </row>
    <row r="26" spans="2:10" ht="15" customHeight="1" x14ac:dyDescent="0.35">
      <c r="B26" s="183" t="s">
        <v>49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50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52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14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15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0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0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0</v>
      </c>
      <c r="J34" s="3"/>
    </row>
    <row r="35" spans="2:10" ht="11.65" x14ac:dyDescent="0.35">
      <c r="B35" s="9" t="s">
        <v>62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73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74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75</v>
      </c>
      <c r="I47" s="168" t="e">
        <f>(E44+E45+E24+E25)/$I$49</f>
        <v>#DIV/0!</v>
      </c>
      <c r="J47" s="187" t="e">
        <f>IF(OR(I47&lt;0.5,C49&lt;I49),"Liquidity Issue!","")</f>
        <v>#DIV/0!</v>
      </c>
    </row>
    <row r="48" spans="2:10" ht="15" customHeight="1" thickBot="1" x14ac:dyDescent="0.4">
      <c r="B48" s="91" t="s">
        <v>76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77</v>
      </c>
      <c r="I48" s="197">
        <f>I49-I28</f>
        <v>0</v>
      </c>
      <c r="J48" s="187"/>
    </row>
    <row r="49" spans="2:11" ht="15" customHeight="1" thickTop="1" x14ac:dyDescent="0.35">
      <c r="B49" s="9" t="s">
        <v>13</v>
      </c>
      <c r="C49" s="184">
        <f>Inputs!C41+Inputs!C37</f>
        <v>0</v>
      </c>
      <c r="D49" s="170" t="e">
        <f>E49/C49</f>
        <v>#DIV/0!</v>
      </c>
      <c r="E49" s="176">
        <f>E28+E48</f>
        <v>0</v>
      </c>
      <c r="F49" s="3"/>
      <c r="G49" s="3"/>
      <c r="H49" s="9" t="s">
        <v>78</v>
      </c>
      <c r="I49" s="175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259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0</v>
      </c>
      <c r="E56" s="321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22">
        <f>Inputs!C84</f>
        <v>0</v>
      </c>
      <c r="E57" s="321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253</v>
      </c>
      <c r="I61" s="203">
        <f>C99*Data!$C$4/Common_Shares</f>
        <v>0</v>
      </c>
      <c r="K61" s="172"/>
    </row>
    <row r="62" spans="2:11" ht="11.65" x14ac:dyDescent="0.35">
      <c r="B62" s="12" t="s">
        <v>127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275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254</v>
      </c>
      <c r="I63" s="207">
        <f>IF(I61&gt;0,FV(I62,D93,0,-I61),I61)</f>
        <v>0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0</v>
      </c>
      <c r="F64" s="3"/>
      <c r="G64" s="3"/>
      <c r="H64" s="2" t="s">
        <v>255</v>
      </c>
      <c r="I64" s="207">
        <f>IF(I61&gt;0,PV(C94,D93,0,-I63),I61)</f>
        <v>0</v>
      </c>
      <c r="K64" s="172"/>
    </row>
    <row r="65" spans="1:11" ht="12" thickTop="1" x14ac:dyDescent="0.35">
      <c r="B65" s="9" t="s">
        <v>130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0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0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0</v>
      </c>
      <c r="D70" s="34">
        <f t="shared" si="2"/>
        <v>0</v>
      </c>
      <c r="E70" s="202">
        <f>E68-E69</f>
        <v>0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1000CNY)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13926470</v>
      </c>
      <c r="D74" s="98"/>
      <c r="E74" s="256">
        <f>Inputs!E91</f>
        <v>13926470</v>
      </c>
      <c r="F74" s="98"/>
      <c r="H74" s="256">
        <f>Inputs!F91</f>
        <v>13926470</v>
      </c>
      <c r="I74" s="98"/>
      <c r="K74" s="75"/>
    </row>
    <row r="75" spans="1:11" ht="15" customHeight="1" x14ac:dyDescent="0.35">
      <c r="B75" s="100" t="s">
        <v>97</v>
      </c>
      <c r="C75" s="97">
        <f>Data!C8</f>
        <v>5632214</v>
      </c>
      <c r="D75" s="101">
        <f>C75/$C$74</f>
        <v>0.4044250983917676</v>
      </c>
      <c r="E75" s="256">
        <f>Inputs!E92</f>
        <v>5632214</v>
      </c>
      <c r="F75" s="211">
        <f>E75/E74</f>
        <v>0.4044250983917676</v>
      </c>
      <c r="H75" s="256">
        <f>Inputs!F92</f>
        <v>5632214</v>
      </c>
      <c r="I75" s="211">
        <f>H75/$H$74</f>
        <v>0.4044250983917676</v>
      </c>
      <c r="K75" s="75"/>
    </row>
    <row r="76" spans="1:11" ht="15" customHeight="1" x14ac:dyDescent="0.35">
      <c r="B76" s="12" t="s">
        <v>87</v>
      </c>
      <c r="C76" s="145">
        <f>C74-C75</f>
        <v>8294256</v>
      </c>
      <c r="D76" s="212"/>
      <c r="E76" s="213">
        <f>E74-E75</f>
        <v>8294256</v>
      </c>
      <c r="F76" s="212"/>
      <c r="H76" s="213">
        <f>H74-H75</f>
        <v>8294256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6784537</v>
      </c>
      <c r="D77" s="101">
        <f>C77/$C$74</f>
        <v>0.48716846408314524</v>
      </c>
      <c r="E77" s="256">
        <f>Inputs!E93</f>
        <v>6784537</v>
      </c>
      <c r="F77" s="211">
        <f>E77/E74</f>
        <v>0.48716846408314524</v>
      </c>
      <c r="H77" s="256">
        <f>Inputs!F93</f>
        <v>6784537</v>
      </c>
      <c r="I77" s="211">
        <f>H77/$H$74</f>
        <v>0.48716846408314524</v>
      </c>
      <c r="K77" s="75"/>
    </row>
    <row r="78" spans="1:11" ht="15" customHeight="1" x14ac:dyDescent="0.35">
      <c r="B78" s="93" t="s">
        <v>150</v>
      </c>
      <c r="C78" s="97">
        <f>MAX(Data!C12,0)</f>
        <v>0</v>
      </c>
      <c r="D78" s="101">
        <f>C78/$C$74</f>
        <v>0</v>
      </c>
      <c r="E78" s="214">
        <f>E74*F78</f>
        <v>0</v>
      </c>
      <c r="F78" s="211">
        <f>I78</f>
        <v>0</v>
      </c>
      <c r="H78" s="256">
        <f>Inputs!F97</f>
        <v>0</v>
      </c>
      <c r="I78" s="211">
        <f>H78/$H$74</f>
        <v>0</v>
      </c>
      <c r="K78" s="75"/>
    </row>
    <row r="79" spans="1:11" ht="15" customHeight="1" x14ac:dyDescent="0.35">
      <c r="B79" s="215" t="s">
        <v>203</v>
      </c>
      <c r="C79" s="216">
        <f>C76-C77-C78</f>
        <v>1509719</v>
      </c>
      <c r="D79" s="217">
        <f>C79/C74</f>
        <v>0.10840643752508712</v>
      </c>
      <c r="E79" s="218">
        <f>E76-E77-E78</f>
        <v>1509719</v>
      </c>
      <c r="F79" s="217">
        <f>E79/E74</f>
        <v>0.10840643752508712</v>
      </c>
      <c r="G79" s="219"/>
      <c r="H79" s="218">
        <f>H76-H77-H78</f>
        <v>1509719</v>
      </c>
      <c r="I79" s="217">
        <f>H79/H74</f>
        <v>0.10840643752508712</v>
      </c>
      <c r="K79" s="75"/>
    </row>
    <row r="80" spans="1:11" ht="15" customHeight="1" x14ac:dyDescent="0.35">
      <c r="B80" s="18" t="s">
        <v>101</v>
      </c>
      <c r="C80" s="97">
        <f>MAX(Data!C18,0)</f>
        <v>684145</v>
      </c>
      <c r="D80" s="101">
        <f>C80/$C$74</f>
        <v>4.9125514218606725E-2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222</v>
      </c>
      <c r="C81" s="97">
        <f>MAX(Data!C19,0)</f>
        <v>773489</v>
      </c>
      <c r="D81" s="101">
        <f>C81/$C$74</f>
        <v>5.5540923148507844E-2</v>
      </c>
      <c r="E81" s="214">
        <f>E74*F81</f>
        <v>773489</v>
      </c>
      <c r="F81" s="211">
        <f>I81</f>
        <v>5.5540923148507844E-2</v>
      </c>
      <c r="H81" s="256">
        <f>Inputs!F94</f>
        <v>773489</v>
      </c>
      <c r="I81" s="211">
        <f>H81/$H$74</f>
        <v>5.5540923148507844E-2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211278</v>
      </c>
      <c r="D82" s="101">
        <f>C82/$C$74</f>
        <v>1.517096579391619E-2</v>
      </c>
      <c r="E82" s="256">
        <f>Inputs!E95</f>
        <v>211278</v>
      </c>
      <c r="F82" s="211">
        <f>E82/E74</f>
        <v>1.517096579391619E-2</v>
      </c>
      <c r="H82" s="256">
        <f>Inputs!F95</f>
        <v>211278</v>
      </c>
      <c r="I82" s="211">
        <f>H82/$H$74</f>
        <v>1.517096579391619E-2</v>
      </c>
      <c r="K82" s="75"/>
    </row>
    <row r="83" spans="1:11" ht="15" customHeight="1" thickBot="1" x14ac:dyDescent="0.4">
      <c r="B83" s="221" t="s">
        <v>113</v>
      </c>
      <c r="C83" s="222">
        <f>C79-C81-C82-C80</f>
        <v>-159193</v>
      </c>
      <c r="D83" s="223">
        <f>C83/$C$74</f>
        <v>-1.1430965635943638E-2</v>
      </c>
      <c r="E83" s="224">
        <f>E79-E81-E82-E80</f>
        <v>524952</v>
      </c>
      <c r="F83" s="223">
        <f>E83/E74</f>
        <v>3.7694548582663086E-2</v>
      </c>
      <c r="H83" s="224">
        <f>H79-H81-H82-H80</f>
        <v>524952</v>
      </c>
      <c r="I83" s="223">
        <f>H83/$H$74</f>
        <v>3.7694548582663086E-2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-119394.75</v>
      </c>
      <c r="D85" s="217">
        <f>C85/$C$74</f>
        <v>-8.5732242269577295E-3</v>
      </c>
      <c r="E85" s="229">
        <f>E83*(1-F84)</f>
        <v>393714</v>
      </c>
      <c r="F85" s="217">
        <f>E85/E74</f>
        <v>2.8270911436997316E-2</v>
      </c>
      <c r="G85" s="219"/>
      <c r="H85" s="229">
        <f>H83*(1-I84)</f>
        <v>393714</v>
      </c>
      <c r="I85" s="217">
        <f>H85/$H$74</f>
        <v>2.8270911436997316E-2</v>
      </c>
      <c r="K85" s="75"/>
    </row>
    <row r="86" spans="1:11" ht="15" customHeight="1" x14ac:dyDescent="0.35">
      <c r="B86" s="3" t="s">
        <v>143</v>
      </c>
      <c r="C86" s="230">
        <f>C85*Data!C4/Common_Shares</f>
        <v>-0.18494717699597613</v>
      </c>
      <c r="D86" s="98"/>
      <c r="E86" s="231">
        <f>E85*Data!C4/Common_Shares</f>
        <v>0.60987851512561264</v>
      </c>
      <c r="F86" s="98"/>
      <c r="H86" s="231">
        <f>H85*Data!C4/Common_Shares</f>
        <v>0.60987851512561264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-2.1740040726443172E-2</v>
      </c>
      <c r="D87" s="98"/>
      <c r="E87" s="233">
        <f>E86*Exchange_Rate/Dashboard!G3</f>
        <v>7.1689570894623481E-2</v>
      </c>
      <c r="F87" s="98"/>
      <c r="H87" s="233">
        <f>H86*Exchange_Rate/Dashboard!G3</f>
        <v>7.1689570894623481E-2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0.62</v>
      </c>
      <c r="D88" s="235">
        <f>C88/C86</f>
        <v>-3.3523085351742852</v>
      </c>
      <c r="E88" s="255">
        <f>Inputs!E98</f>
        <v>0.62</v>
      </c>
      <c r="F88" s="235">
        <f>E88/E86</f>
        <v>1.0165959033206846</v>
      </c>
      <c r="H88" s="255">
        <f>Inputs!F98</f>
        <v>0.62</v>
      </c>
      <c r="I88" s="235">
        <f>H88/H86</f>
        <v>1.0165959033206846</v>
      </c>
      <c r="K88" s="75"/>
    </row>
    <row r="89" spans="1:11" ht="15" customHeight="1" x14ac:dyDescent="0.35">
      <c r="B89" s="3" t="s">
        <v>193</v>
      </c>
      <c r="C89" s="232">
        <f>C88*Exchange_Rate/Dashboard!G3</f>
        <v>7.2879324082292016E-2</v>
      </c>
      <c r="D89" s="98"/>
      <c r="E89" s="232">
        <f>E88*Exchange_Rate/Dashboard!G3</f>
        <v>7.2879324082292016E-2</v>
      </c>
      <c r="F89" s="98"/>
      <c r="H89" s="232">
        <f>H88*Exchange_Rate/Dashboard!G3</f>
        <v>7.2879324082292016E-2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269</v>
      </c>
      <c r="C92" s="258" t="str">
        <f>Inputs!C15</f>
        <v>CN</v>
      </c>
      <c r="D92" s="83" t="s">
        <v>270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182</v>
      </c>
      <c r="F93" s="237">
        <f>FV(E87,D93,0,-(E86/(C93-D94)))*Exchange_Rate</f>
        <v>14.263605784146257</v>
      </c>
      <c r="H93" s="3" t="s">
        <v>182</v>
      </c>
      <c r="I93" s="237">
        <f>FV(H87,D93,0,-(H86/(C93-D94)))*Exchange_Rate</f>
        <v>14.263605784146257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14.564821569120705</v>
      </c>
      <c r="H94" s="3" t="s">
        <v>183</v>
      </c>
      <c r="I94" s="237">
        <f>FV(H89,D93,0,-(H88/(C93-D94)))*Exchange_Rate</f>
        <v>14.564821569120705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5264722.5605601417</v>
      </c>
      <c r="D97" s="244"/>
      <c r="E97" s="245">
        <f>PV(C94,D93,0,-F93)</f>
        <v>8.1552629009451856</v>
      </c>
      <c r="F97" s="244"/>
      <c r="H97" s="245">
        <f>PV(C94,D93,0,-I93)</f>
        <v>8.1552629009451856</v>
      </c>
      <c r="I97" s="245">
        <f>PV(C93,D93,0,-I93)</f>
        <v>10.484176059867663</v>
      </c>
      <c r="K97" s="75"/>
    </row>
    <row r="98" spans="2:11" ht="15" customHeight="1" x14ac:dyDescent="0.35">
      <c r="B98" s="18" t="s">
        <v>132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0</v>
      </c>
      <c r="D99" s="248"/>
      <c r="E99" s="249">
        <f>IF(H99&gt;0,I64,H99)</f>
        <v>0</v>
      </c>
      <c r="F99" s="248"/>
      <c r="H99" s="249">
        <f>I64</f>
        <v>0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6.9319734658034076</v>
      </c>
      <c r="E100" s="251">
        <f>MAX(E97+H98+E99,0)</f>
        <v>8.1552629009451856</v>
      </c>
      <c r="F100" s="251">
        <f>(E100+H100)/2</f>
        <v>8.1552629009451856</v>
      </c>
      <c r="H100" s="251">
        <f>MAX(H97+H98+H99,0)</f>
        <v>8.1552629009451856</v>
      </c>
      <c r="I100" s="251">
        <f>MAX(I97+H98+H99,0)</f>
        <v>10.484176059867663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271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7.078361403083953</v>
      </c>
      <c r="E103" s="245">
        <f>PV(C94,D93,0,-F94)</f>
        <v>8.3274840036281805</v>
      </c>
      <c r="F103" s="251">
        <f>(E103+H103)/2</f>
        <v>8.3274840036281805</v>
      </c>
      <c r="H103" s="245">
        <f>PV(C94,D93,0,-I94)</f>
        <v>8.3274840036281805</v>
      </c>
      <c r="I103" s="251">
        <f>PV(C93,D93,0,-I94)</f>
        <v>10.705578653957399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7.0051674344436803</v>
      </c>
      <c r="E106" s="245">
        <f>(E100+E103)/2</f>
        <v>8.2413734522866839</v>
      </c>
      <c r="F106" s="251">
        <f>(F100+F103)/2</f>
        <v>8.2413734522866839</v>
      </c>
      <c r="H106" s="245">
        <f>(H100+H103)/2</f>
        <v>8.2413734522866839</v>
      </c>
      <c r="I106" s="245">
        <f>(I100+I103)/2</f>
        <v>10.59487735691253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272</v>
      </c>
      <c r="C108" s="259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264</v>
      </c>
      <c r="C2" s="1"/>
    </row>
    <row r="3" spans="2:3" x14ac:dyDescent="0.35">
      <c r="B3" s="62"/>
      <c r="C3" s="62"/>
    </row>
    <row r="4" spans="2:3" x14ac:dyDescent="0.35">
      <c r="B4" s="60" t="s">
        <v>262</v>
      </c>
      <c r="C4" s="61" t="s">
        <v>263</v>
      </c>
    </row>
    <row r="5" spans="2:3" x14ac:dyDescent="0.35">
      <c r="B5" s="60"/>
      <c r="C5" s="61"/>
    </row>
    <row r="6" spans="2:3" x14ac:dyDescent="0.35">
      <c r="B6" s="63" t="s">
        <v>265</v>
      </c>
      <c r="C6" s="64" t="s">
        <v>266</v>
      </c>
    </row>
    <row r="7" spans="2:3" x14ac:dyDescent="0.35">
      <c r="B7" s="63"/>
      <c r="C7" s="64"/>
    </row>
    <row r="8" spans="2:3" x14ac:dyDescent="0.35">
      <c r="B8" s="290"/>
      <c r="C8" s="65" t="s">
        <v>267</v>
      </c>
    </row>
    <row r="10" spans="2:3" x14ac:dyDescent="0.35">
      <c r="B10" s="283" t="s">
        <v>268</v>
      </c>
    </row>
    <row r="11" spans="2:3" x14ac:dyDescent="0.35">
      <c r="B11" s="284">
        <f>Inputs!C6</f>
        <v>45637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2024-12-27T10:15:57Z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