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C4B232-2FBA-4253-9BD5-AA1D70051291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F97" i="4" l="1"/>
  <c r="E92" i="4"/>
  <c r="F92" i="4"/>
  <c r="F95" i="4"/>
  <c r="D53" i="4"/>
  <c r="D17" i="2"/>
  <c r="E17" i="2"/>
  <c r="F17" i="2"/>
  <c r="G17" i="2"/>
  <c r="H17" i="2"/>
  <c r="I17" i="2"/>
  <c r="J17" i="2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H29" i="2" l="1"/>
  <c r="H39" i="2" s="1"/>
  <c r="H40" i="2" s="1"/>
  <c r="G29" i="2"/>
  <c r="G58" i="2" s="1"/>
  <c r="G39" i="2"/>
  <c r="G40" i="2" s="1"/>
  <c r="D29" i="2"/>
  <c r="D58" i="2" s="1"/>
  <c r="J29" i="2"/>
  <c r="F29" i="2"/>
  <c r="F58" i="2" s="1"/>
  <c r="I3" i="3"/>
  <c r="E29" i="2"/>
  <c r="E58" i="2" s="1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47" i="2"/>
  <c r="J47" i="2"/>
  <c r="F47" i="2"/>
  <c r="C47" i="2"/>
  <c r="M24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<sst xmlns="http://schemas.openxmlformats.org/spreadsheetml/2006/main" count="405" uniqueCount="291">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</sst>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45591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1043691480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283</v>
      </c>
    </row>
    <row r="16" spans="1:5" x14ac:dyDescent="0.35">
      <c r="B16" s="74" t="s">
        <v>89</v>
      </c>
      <c r="C16" s="120">
        <f>(16.5%+25%)/2</f>
        <v>0.20750000000000002</v>
      </c>
      <c r="D16" s="75"/>
      <c r="E16" s="25" t="s">
        <v>252</v>
      </c>
    </row>
    <row r="17" spans="2:13" x14ac:dyDescent="0.35">
      <c r="B17" s="56" t="s">
        <v>197</v>
      </c>
      <c r="C17" s="121" t="s">
        <v>288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289</v>
      </c>
      <c r="D19" s="75"/>
    </row>
    <row r="20" spans="2:13" x14ac:dyDescent="0.35">
      <c r="B20" s="57" t="s">
        <v>200</v>
      </c>
      <c r="C20" s="121" t="s">
        <v>289</v>
      </c>
      <c r="D20" s="75"/>
    </row>
    <row r="21" spans="2:13" x14ac:dyDescent="0.35">
      <c r="B21" s="2" t="s">
        <v>203</v>
      </c>
      <c r="C21" s="121" t="s">
        <v>288</v>
      </c>
      <c r="D21" s="75"/>
    </row>
    <row r="22" spans="2:13" ht="69.75" x14ac:dyDescent="0.35">
      <c r="B22" s="59" t="s">
        <v>202</v>
      </c>
      <c r="C22" s="122" t="s">
        <v>290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3833194</v>
      </c>
      <c r="D25" s="77">
        <v>4067732</v>
      </c>
      <c r="E25" s="77">
        <v>3866335</v>
      </c>
      <c r="F25" s="77">
        <v>3518847</v>
      </c>
      <c r="G25" s="77">
        <v>3087781</v>
      </c>
      <c r="H25" s="77">
        <v>2998828</v>
      </c>
      <c r="I25" s="77">
        <v>2902271</v>
      </c>
      <c r="J25" s="77">
        <v>2629905</v>
      </c>
      <c r="K25" s="77"/>
      <c r="L25" s="77"/>
      <c r="M25" s="77"/>
    </row>
    <row r="26" spans="2:13" x14ac:dyDescent="0.35">
      <c r="B26" s="264" t="s">
        <v>98</v>
      </c>
      <c r="C26" s="78">
        <v>2530133</v>
      </c>
      <c r="D26" s="78">
        <v>2764937</v>
      </c>
      <c r="E26" s="78">
        <v>2639016</v>
      </c>
      <c r="F26" s="78">
        <v>2360170</v>
      </c>
      <c r="G26" s="78">
        <v>2074351</v>
      </c>
      <c r="H26" s="78">
        <v>2065429</v>
      </c>
      <c r="I26" s="78">
        <v>1867706</v>
      </c>
      <c r="J26" s="78">
        <v>1588722</v>
      </c>
      <c r="K26" s="78"/>
      <c r="L26" s="78"/>
      <c r="M26" s="78"/>
    </row>
    <row r="27" spans="2:13" x14ac:dyDescent="0.35">
      <c r="B27" s="264" t="s">
        <v>96</v>
      </c>
      <c r="C27" s="78">
        <v>829721</v>
      </c>
      <c r="D27" s="78">
        <v>842779</v>
      </c>
      <c r="E27" s="78">
        <v>769862</v>
      </c>
      <c r="F27" s="78">
        <v>714686</v>
      </c>
      <c r="G27" s="78">
        <v>676867</v>
      </c>
      <c r="H27" s="78">
        <v>648594</v>
      </c>
      <c r="I27" s="78">
        <v>767003</v>
      </c>
      <c r="J27" s="78">
        <v>750812</v>
      </c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270</v>
      </c>
      <c r="D29" s="78">
        <v>259</v>
      </c>
      <c r="E29" s="78">
        <v>365</v>
      </c>
      <c r="F29" s="78">
        <v>116</v>
      </c>
      <c r="G29" s="78">
        <v>64</v>
      </c>
      <c r="H29" s="78">
        <v>0</v>
      </c>
      <c r="I29" s="78">
        <v>0</v>
      </c>
      <c r="J29" s="78">
        <v>0</v>
      </c>
      <c r="K29" s="78"/>
      <c r="L29" s="78"/>
      <c r="M29" s="78"/>
    </row>
    <row r="30" spans="2:13" x14ac:dyDescent="0.35">
      <c r="B30" s="303" t="s">
        <v>277</v>
      </c>
      <c r="C30" s="302"/>
      <c r="D30" s="302">
        <v>30135</v>
      </c>
      <c r="E30" s="302">
        <v>35414</v>
      </c>
      <c r="F30" s="302">
        <v>30652</v>
      </c>
      <c r="G30" s="302">
        <v>27954</v>
      </c>
      <c r="H30" s="302">
        <v>25134</v>
      </c>
      <c r="I30" s="302">
        <v>25097</v>
      </c>
      <c r="J30" s="302">
        <v>16390</v>
      </c>
      <c r="K30" s="302"/>
      <c r="L30" s="302"/>
      <c r="M30" s="302"/>
    </row>
    <row r="31" spans="2:13" x14ac:dyDescent="0.35">
      <c r="B31" s="266" t="s">
        <v>103</v>
      </c>
      <c r="C31" s="78">
        <v>2980</v>
      </c>
      <c r="D31" s="78">
        <v>30135</v>
      </c>
      <c r="E31" s="78">
        <v>35414</v>
      </c>
      <c r="F31" s="78">
        <v>30652</v>
      </c>
      <c r="G31" s="78">
        <v>27954</v>
      </c>
      <c r="H31" s="78">
        <v>25134</v>
      </c>
      <c r="I31" s="78">
        <v>25097</v>
      </c>
      <c r="J31" s="78">
        <v>16390</v>
      </c>
      <c r="K31" s="78"/>
      <c r="L31" s="78"/>
      <c r="M31" s="78"/>
    </row>
    <row r="32" spans="2:13" x14ac:dyDescent="0.35">
      <c r="B32" s="264" t="s">
        <v>102</v>
      </c>
      <c r="C32" s="78">
        <v>-212109</v>
      </c>
      <c r="D32" s="78">
        <v>-63909</v>
      </c>
      <c r="E32" s="78">
        <v>-85212</v>
      </c>
      <c r="F32" s="78">
        <v>-137953</v>
      </c>
      <c r="G32" s="78">
        <v>-184857</v>
      </c>
      <c r="H32" s="78">
        <v>-59025</v>
      </c>
      <c r="I32" s="78">
        <v>-13114</v>
      </c>
      <c r="J32" s="78">
        <v>-55207</v>
      </c>
      <c r="K32" s="78"/>
      <c r="L32" s="78"/>
      <c r="M32" s="78"/>
    </row>
    <row r="33" spans="2:13" x14ac:dyDescent="0.35">
      <c r="B33" s="264" t="s">
        <v>97</v>
      </c>
      <c r="C33" s="78">
        <v>47627</v>
      </c>
      <c r="D33" s="78">
        <v>45913</v>
      </c>
      <c r="E33" s="78">
        <v>50573</v>
      </c>
      <c r="F33" s="78">
        <v>36563</v>
      </c>
      <c r="G33" s="78">
        <v>23174</v>
      </c>
      <c r="H33" s="78">
        <v>17650</v>
      </c>
      <c r="I33" s="78">
        <v>20113</v>
      </c>
      <c r="J33" s="78">
        <v>21618</v>
      </c>
      <c r="K33" s="78"/>
      <c r="L33" s="78"/>
      <c r="M33" s="78"/>
    </row>
    <row r="34" spans="2:13" x14ac:dyDescent="0.35">
      <c r="B34" s="264" t="s">
        <v>100</v>
      </c>
      <c r="C34" s="78">
        <v>329600</v>
      </c>
      <c r="D34" s="78">
        <v>634000</v>
      </c>
      <c r="E34" s="78">
        <v>315900</v>
      </c>
      <c r="F34" s="78">
        <v>259700</v>
      </c>
      <c r="G34" s="78">
        <v>283600</v>
      </c>
      <c r="H34" s="78">
        <v>215300</v>
      </c>
      <c r="I34" s="78">
        <v>259700</v>
      </c>
      <c r="J34" s="78">
        <v>467600</v>
      </c>
      <c r="K34" s="78"/>
      <c r="L34" s="78"/>
      <c r="M34" s="78"/>
    </row>
    <row r="35" spans="2:13" x14ac:dyDescent="0.35">
      <c r="B35" s="263" t="s">
        <v>106</v>
      </c>
      <c r="C35" s="79"/>
      <c r="D35" s="78">
        <v>372854</v>
      </c>
      <c r="E35" s="78">
        <v>475382</v>
      </c>
      <c r="F35" s="78">
        <v>508545</v>
      </c>
      <c r="G35" s="78">
        <v>421056</v>
      </c>
      <c r="H35" s="78">
        <v>449932</v>
      </c>
      <c r="I35" s="78">
        <v>420626</v>
      </c>
      <c r="J35" s="78">
        <v>296371</v>
      </c>
      <c r="K35" s="78"/>
      <c r="L35" s="78"/>
      <c r="M35" s="78"/>
    </row>
    <row r="36" spans="2:13" x14ac:dyDescent="0.35">
      <c r="B36" s="263" t="s">
        <v>135</v>
      </c>
      <c r="C36" s="79"/>
      <c r="D36" s="78">
        <v>415015</v>
      </c>
      <c r="E36" s="78">
        <v>464999</v>
      </c>
      <c r="F36" s="78">
        <v>363144</v>
      </c>
      <c r="G36" s="78">
        <v>326593</v>
      </c>
      <c r="H36" s="78">
        <v>294086</v>
      </c>
      <c r="I36" s="78">
        <v>290728</v>
      </c>
      <c r="J36" s="78">
        <v>215131</v>
      </c>
      <c r="K36" s="78"/>
      <c r="L36" s="78"/>
      <c r="M36" s="78"/>
    </row>
    <row r="37" spans="2:13" x14ac:dyDescent="0.35">
      <c r="B37" s="263" t="s">
        <v>244</v>
      </c>
      <c r="C37" s="78">
        <v>903222</v>
      </c>
      <c r="D37" s="78">
        <v>896185</v>
      </c>
      <c r="E37" s="78">
        <v>1060434</v>
      </c>
      <c r="F37" s="78">
        <v>1065331</v>
      </c>
      <c r="G37" s="78">
        <v>859227</v>
      </c>
      <c r="H37" s="78">
        <v>796096</v>
      </c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>
        <v>112845</v>
      </c>
      <c r="E38" s="78">
        <v>82874</v>
      </c>
      <c r="F38" s="78">
        <v>75361</v>
      </c>
      <c r="G38" s="78">
        <v>62385</v>
      </c>
      <c r="H38" s="78">
        <v>53103</v>
      </c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>
        <v>8558</v>
      </c>
      <c r="E39" s="78">
        <v>5576</v>
      </c>
      <c r="F39" s="78">
        <v>7278</v>
      </c>
      <c r="G39" s="78">
        <v>1660</v>
      </c>
      <c r="H39" s="78">
        <v>0</v>
      </c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>
        <v>1113</v>
      </c>
      <c r="E40" s="78">
        <v>5636</v>
      </c>
      <c r="F40" s="78">
        <v>9396</v>
      </c>
      <c r="G40" s="78">
        <v>131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3666124</v>
      </c>
      <c r="D41" s="302">
        <v>3674703</v>
      </c>
      <c r="E41" s="302">
        <v>4116261</v>
      </c>
      <c r="F41" s="302">
        <v>4043183</v>
      </c>
      <c r="G41" s="302">
        <v>3712318</v>
      </c>
      <c r="H41" s="302">
        <v>3595173</v>
      </c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45613</v>
      </c>
      <c r="D42" s="78">
        <v>43262</v>
      </c>
      <c r="E42" s="78">
        <v>165622</v>
      </c>
      <c r="F42" s="78">
        <v>143504</v>
      </c>
      <c r="G42" s="78">
        <v>122753</v>
      </c>
      <c r="H42" s="78">
        <v>114637</v>
      </c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>
        <v>1696980</v>
      </c>
      <c r="E43" s="78">
        <v>2130407</v>
      </c>
      <c r="F43" s="78">
        <v>2344902</v>
      </c>
      <c r="G43" s="78">
        <v>2164713</v>
      </c>
      <c r="H43" s="78">
        <v>2079261</v>
      </c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0.15820000000000001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2.7513043478260869E-2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1322113</v>
      </c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>
        <v>422018</v>
      </c>
      <c r="D50" s="109">
        <f>D51</f>
        <v>0.6</v>
      </c>
      <c r="E50" s="260"/>
    </row>
    <row r="51" spans="2:5" x14ac:dyDescent="0.35">
      <c r="B51" s="9" t="s">
        <v>35</v>
      </c>
      <c r="C51" s="86">
        <v>221617</v>
      </c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>
        <v>63587</v>
      </c>
      <c r="D54" s="109">
        <v>0.1</v>
      </c>
      <c r="E54" s="260"/>
    </row>
    <row r="55" spans="2:5" x14ac:dyDescent="0.35">
      <c r="B55" s="9" t="s">
        <v>40</v>
      </c>
      <c r="C55" s="86">
        <v>370793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>
        <v>22411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v>39731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>
        <v>85171</v>
      </c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>
        <v>1863998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23958</v>
      </c>
      <c r="D70" s="109">
        <v>0.05</v>
      </c>
      <c r="E70" s="260"/>
    </row>
    <row r="71" spans="2:5" x14ac:dyDescent="0.35">
      <c r="B71" s="9" t="s">
        <v>68</v>
      </c>
      <c r="C71" s="86">
        <v>71331</v>
      </c>
      <c r="D71" s="109">
        <f>D58</f>
        <v>0.9</v>
      </c>
      <c r="E71" s="260"/>
    </row>
    <row r="72" spans="2:5" ht="12" thickBot="1" x14ac:dyDescent="0.4">
      <c r="B72" s="89" t="s">
        <v>69</v>
      </c>
      <c r="C72" s="90">
        <v>62618</v>
      </c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>
        <v>5523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>
        <v>803015</v>
      </c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>
        <v>2115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>
        <v>100207</v>
      </c>
    </row>
    <row r="83" spans="2:8" hidden="1" x14ac:dyDescent="0.35">
      <c r="B83" s="300" t="s">
        <v>247</v>
      </c>
      <c r="C83" s="79">
        <v>3620511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275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3833194</v>
      </c>
      <c r="D91" s="98"/>
      <c r="E91" s="99">
        <f>C91</f>
        <v>3833194</v>
      </c>
      <c r="F91" s="99">
        <f>C91</f>
        <v>3833194</v>
      </c>
    </row>
    <row r="92" spans="2:8" x14ac:dyDescent="0.35">
      <c r="B92" s="100" t="s">
        <v>98</v>
      </c>
      <c r="C92" s="97">
        <f>C26</f>
        <v>2530133</v>
      </c>
      <c r="D92" s="101">
        <f>C92/C91</f>
        <v>0.66005868735054896</v>
      </c>
      <c r="E92" s="102">
        <f>E91*D92</f>
        <v>2530133</v>
      </c>
      <c r="F92" s="102">
        <f>F91*D92</f>
        <v>2530133</v>
      </c>
    </row>
    <row r="93" spans="2:8" x14ac:dyDescent="0.35">
      <c r="B93" s="100" t="s">
        <v>217</v>
      </c>
      <c r="C93" s="97">
        <f>C27+C28</f>
        <v>829721</v>
      </c>
      <c r="D93" s="101">
        <f>C93/C91</f>
        <v>0.21645682425674254</v>
      </c>
      <c r="E93" s="102">
        <f>E91*D93</f>
        <v>829721</v>
      </c>
      <c r="F93" s="102">
        <f>F91*D93</f>
        <v>829721</v>
      </c>
    </row>
    <row r="94" spans="2:8" x14ac:dyDescent="0.35">
      <c r="B94" s="100" t="s">
        <v>223</v>
      </c>
      <c r="C94" s="97">
        <f>C29</f>
        <v>270</v>
      </c>
      <c r="D94" s="101">
        <f>C94/C91</f>
        <v>7.0437342852983705E-5</v>
      </c>
      <c r="E94" s="103"/>
      <c r="F94" s="102">
        <f>F91*D94</f>
        <v>270</v>
      </c>
    </row>
    <row r="95" spans="2:8" x14ac:dyDescent="0.35">
      <c r="B95" s="18" t="s">
        <v>216</v>
      </c>
      <c r="C95" s="97">
        <f>ABS(MAX(C34,0)-C33)</f>
        <v>281973</v>
      </c>
      <c r="D95" s="101">
        <f>C95/C91</f>
        <v>7.3560847689942116E-2</v>
      </c>
      <c r="E95" s="102">
        <f>E91*0.01</f>
        <v>38331.94</v>
      </c>
      <c r="F95" s="102">
        <f>F91*0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3760.2523659305994</v>
      </c>
      <c r="D97" s="101">
        <f>C97/C91</f>
        <v>9.8097105597332122E-4</v>
      </c>
      <c r="E97" s="103"/>
      <c r="F97" s="102">
        <f>F91*D97</f>
        <v>3760.2523659305989</v>
      </c>
    </row>
    <row r="98" spans="2:6" x14ac:dyDescent="0.35">
      <c r="B98" s="8" t="s">
        <v>181</v>
      </c>
      <c r="C98" s="104">
        <f>C44</f>
        <v>0.15820000000000001</v>
      </c>
      <c r="D98" s="105"/>
      <c r="E98" s="106">
        <f>F98</f>
        <v>0.15820000000000001</v>
      </c>
      <c r="F98" s="106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1475.HK</v>
      </c>
      <c r="D3" s="317"/>
      <c r="E3" s="3"/>
      <c r="F3" s="9" t="s">
        <v>1</v>
      </c>
      <c r="G3" s="10">
        <v>5.75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NISSIN FOODS</v>
      </c>
      <c r="D4" s="319"/>
      <c r="E4" s="3"/>
      <c r="F4" s="9" t="s">
        <v>3</v>
      </c>
      <c r="G4" s="322">
        <f>Inputs!C10</f>
        <v>1043691480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45591</v>
      </c>
      <c r="D5" s="321"/>
      <c r="E5" s="16"/>
      <c r="F5" s="12" t="s">
        <v>92</v>
      </c>
      <c r="G5" s="314">
        <f>G3*G4/1000000</f>
        <v>6001.2260100000003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0.12969985386981822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0.83889335585442648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1.2620721218634607</v>
      </c>
      <c r="F23" s="39" t="s">
        <v>164</v>
      </c>
      <c r="G23" s="40">
        <f>G3/(Data!C36*Data!C4/Common_Shares*Exchange_Rate)</f>
        <v>1.636940269887216</v>
      </c>
    </row>
    <row r="24" spans="1:8" ht="15.75" customHeight="1" x14ac:dyDescent="0.35">
      <c r="B24" s="41" t="s">
        <v>240</v>
      </c>
      <c r="C24" s="42">
        <f>Fin_Analysis!I81</f>
        <v>7.0437342852983705E-5</v>
      </c>
      <c r="F24" s="39" t="s">
        <v>225</v>
      </c>
      <c r="G24" s="43">
        <f>G3/(Fin_Analysis!H86*G7)</f>
        <v>16.135452058963835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0.44393539403966586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2.7513043478260869E-2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4.0134569772296054</v>
      </c>
      <c r="D29" s="54">
        <f>G29*(1+G20)</f>
        <v>7.0944465712421456</v>
      </c>
      <c r="E29" s="3"/>
      <c r="F29" s="55">
        <f>IF(Fin_Analysis!C108="Profit",Fin_Analysis!F100,IF(Fin_Analysis!C108="Dividend",Fin_Analysis!F103,Fin_Analysis!F106))</f>
        <v>4.7217140908583595</v>
      </c>
      <c r="G29" s="313">
        <f>IF(Fin_Analysis!C108="Profit",Fin_Analysis!I100,IF(Fin_Analysis!C108="Dividend",Fin_Analysis!I103,Fin_Analysis!I106))</f>
        <v>6.1690839749931703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253090.17350157729</v>
      </c>
      <c r="G3" s="139">
        <f>C14</f>
        <v>469579.74763406941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0.10850846122502222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3833194</v>
      </c>
      <c r="D6" s="142">
        <f>IF(Inputs!D25="","",Inputs!D25)</f>
        <v>4067732</v>
      </c>
      <c r="E6" s="142">
        <f>IF(Inputs!E25="","",Inputs!E25)</f>
        <v>3866335</v>
      </c>
      <c r="F6" s="142">
        <f>IF(Inputs!F25="","",Inputs!F25)</f>
        <v>3518847</v>
      </c>
      <c r="G6" s="142">
        <f>IF(Inputs!G25="","",Inputs!G25)</f>
        <v>3087781</v>
      </c>
      <c r="H6" s="142">
        <f>IF(Inputs!H25="","",Inputs!H25)</f>
        <v>2998828</v>
      </c>
      <c r="I6" s="142">
        <f>IF(Inputs!I25="","",Inputs!I25)</f>
        <v>2902271</v>
      </c>
      <c r="J6" s="142">
        <f>IF(Inputs!J25="","",Inputs!J25)</f>
        <v>2629905</v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-5.7658174137332541E-2</v>
      </c>
      <c r="D7" s="143">
        <f t="shared" si="1"/>
        <v>5.2089899090482339E-2</v>
      </c>
      <c r="E7" s="143">
        <f t="shared" si="1"/>
        <v>9.8750528227001588E-2</v>
      </c>
      <c r="F7" s="143">
        <f t="shared" si="1"/>
        <v>0.13960381257608612</v>
      </c>
      <c r="G7" s="143">
        <f t="shared" si="1"/>
        <v>2.9662588184450778E-2</v>
      </c>
      <c r="H7" s="143">
        <f t="shared" si="1"/>
        <v>3.3269463809547872E-2</v>
      </c>
      <c r="I7" s="143">
        <f t="shared" si="1"/>
        <v>0.10356495766957363</v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2530133</v>
      </c>
      <c r="D8" s="144">
        <f>IF(Inputs!D26="","",Inputs!D26)</f>
        <v>2764937</v>
      </c>
      <c r="E8" s="144">
        <f>IF(Inputs!E26="","",Inputs!E26)</f>
        <v>2639016</v>
      </c>
      <c r="F8" s="144">
        <f>IF(Inputs!F26="","",Inputs!F26)</f>
        <v>2360170</v>
      </c>
      <c r="G8" s="144">
        <f>IF(Inputs!G26="","",Inputs!G26)</f>
        <v>2074351</v>
      </c>
      <c r="H8" s="144">
        <f>IF(Inputs!H26="","",Inputs!H26)</f>
        <v>2065429</v>
      </c>
      <c r="I8" s="144">
        <f>IF(Inputs!I26="","",Inputs!I26)</f>
        <v>1867706</v>
      </c>
      <c r="J8" s="144">
        <f>IF(Inputs!J26="","",Inputs!J26)</f>
        <v>1588722</v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1303061</v>
      </c>
      <c r="D9" s="273">
        <f t="shared" si="2"/>
        <v>1302795</v>
      </c>
      <c r="E9" s="273">
        <f t="shared" si="2"/>
        <v>1227319</v>
      </c>
      <c r="F9" s="273">
        <f t="shared" si="2"/>
        <v>1158677</v>
      </c>
      <c r="G9" s="273">
        <f t="shared" si="2"/>
        <v>1013430</v>
      </c>
      <c r="H9" s="273">
        <f t="shared" si="2"/>
        <v>933399</v>
      </c>
      <c r="I9" s="273">
        <f t="shared" si="2"/>
        <v>1034565</v>
      </c>
      <c r="J9" s="273">
        <f t="shared" si="2"/>
        <v>1041183</v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829721</v>
      </c>
      <c r="D10" s="144">
        <f>IF(Inputs!D27="","",Inputs!D27)</f>
        <v>842779</v>
      </c>
      <c r="E10" s="144">
        <f>IF(Inputs!E27="","",Inputs!E27)</f>
        <v>769862</v>
      </c>
      <c r="F10" s="144">
        <f>IF(Inputs!F27="","",Inputs!F27)</f>
        <v>714686</v>
      </c>
      <c r="G10" s="144">
        <f>IF(Inputs!G27="","",Inputs!G27)</f>
        <v>676867</v>
      </c>
      <c r="H10" s="144">
        <f>IF(Inputs!H27="","",Inputs!H27)</f>
        <v>648594</v>
      </c>
      <c r="I10" s="144">
        <f>IF(Inputs!I27="","",Inputs!I27)</f>
        <v>767003</v>
      </c>
      <c r="J10" s="144">
        <f>IF(Inputs!J27="","",Inputs!J27)</f>
        <v>750812</v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3760.2523659305994</v>
      </c>
      <c r="D12" s="144">
        <f>IF(Inputs!D31="","",MAX(Inputs!D31,0)/(1-Fin_Analysis!$I$84))</f>
        <v>38025.236593059941</v>
      </c>
      <c r="E12" s="144">
        <f>IF(Inputs!E31="","",MAX(Inputs!E31,0)/(1-Fin_Analysis!$I$84))</f>
        <v>44686.435331230285</v>
      </c>
      <c r="F12" s="144">
        <f>IF(Inputs!F31="","",MAX(Inputs!F31,0)/(1-Fin_Analysis!$I$84))</f>
        <v>38677.602523659305</v>
      </c>
      <c r="G12" s="144">
        <f>IF(Inputs!G31="","",MAX(Inputs!G31,0)/(1-Fin_Analysis!$I$84))</f>
        <v>35273.186119873819</v>
      </c>
      <c r="H12" s="144">
        <f>IF(Inputs!H31="","",MAX(Inputs!H31,0)/(1-Fin_Analysis!$I$84))</f>
        <v>31714.826498422713</v>
      </c>
      <c r="I12" s="144">
        <f>IF(Inputs!I31="","",MAX(Inputs!I31,0)/(1-Fin_Analysis!$I$84))</f>
        <v>31668.13880126183</v>
      </c>
      <c r="J12" s="144">
        <f>IF(Inputs!J31="","",MAX(Inputs!J31,0)/(1-Fin_Analysis!$I$84))</f>
        <v>20681.388012618296</v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0.12250351733673522</v>
      </c>
      <c r="D13" s="292">
        <f t="shared" si="3"/>
        <v>0.10374104375778445</v>
      </c>
      <c r="E13" s="292">
        <f t="shared" si="3"/>
        <v>0.10676016554922678</v>
      </c>
      <c r="F13" s="292">
        <f t="shared" si="3"/>
        <v>0.11518358072298703</v>
      </c>
      <c r="G13" s="292">
        <f t="shared" si="3"/>
        <v>9.7574864888451018E-2</v>
      </c>
      <c r="H13" s="292">
        <f t="shared" si="3"/>
        <v>8.4396362012618686E-2</v>
      </c>
      <c r="I13" s="292">
        <f t="shared" si="3"/>
        <v>8.1279060845364945E-2</v>
      </c>
      <c r="J13" s="292">
        <f t="shared" si="3"/>
        <v>0.1025472828818462</v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469579.74763406941</v>
      </c>
      <c r="D14" s="294">
        <f t="shared" ref="D14:M14" si="4">IF(D6="","",D9-D10-MAX(D11,0)-MAX(D12,0))</f>
        <v>421990.76340694004</v>
      </c>
      <c r="E14" s="294">
        <f t="shared" si="4"/>
        <v>412770.56466876972</v>
      </c>
      <c r="F14" s="294">
        <f t="shared" si="4"/>
        <v>405313.3974763407</v>
      </c>
      <c r="G14" s="294">
        <f t="shared" si="4"/>
        <v>301289.81388012617</v>
      </c>
      <c r="H14" s="294">
        <f t="shared" si="4"/>
        <v>253090.17350157729</v>
      </c>
      <c r="I14" s="294">
        <f t="shared" si="4"/>
        <v>235893.86119873816</v>
      </c>
      <c r="J14" s="294">
        <f t="shared" si="4"/>
        <v>269689.61198738171</v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0.11277257313150643</v>
      </c>
      <c r="D15" s="296">
        <f t="shared" ref="D15:M15" si="5">IF(E14="","",IF(ABS(D14+E14)=ABS(D14)+ABS(E14),IF(D14&lt;0,-1,1)*(D14-E14)/E14,"Turn"))</f>
        <v>2.2337345555560939E-2</v>
      </c>
      <c r="E15" s="296">
        <f t="shared" si="5"/>
        <v>1.8398521338945647E-2</v>
      </c>
      <c r="F15" s="296">
        <f t="shared" si="5"/>
        <v>0.34526087110798337</v>
      </c>
      <c r="G15" s="296">
        <f t="shared" si="5"/>
        <v>0.19044453489320673</v>
      </c>
      <c r="H15" s="296">
        <f t="shared" si="5"/>
        <v>7.2898515524960655E-2</v>
      </c>
      <c r="I15" s="296">
        <f t="shared" si="5"/>
        <v>-0.12531350592111345</v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-391855.76340694004</v>
      </c>
      <c r="E16" s="147">
        <f t="shared" si="6"/>
        <v>-377356.56466876972</v>
      </c>
      <c r="F16" s="147">
        <f t="shared" si="6"/>
        <v>-374661.3974763407</v>
      </c>
      <c r="G16" s="147">
        <f t="shared" si="6"/>
        <v>-273335.81388012617</v>
      </c>
      <c r="H16" s="147">
        <f t="shared" si="6"/>
        <v>-227956.17350157729</v>
      </c>
      <c r="I16" s="147">
        <f t="shared" si="6"/>
        <v>-210796.86119873816</v>
      </c>
      <c r="J16" s="147">
        <f t="shared" si="6"/>
        <v>-253299.61198738171</v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30135</v>
      </c>
      <c r="E17" s="307">
        <f>IF(Inputs!E30="","",Inputs!E30)</f>
        <v>35414</v>
      </c>
      <c r="F17" s="307">
        <f>IF(Inputs!F30="","",Inputs!F30)</f>
        <v>30652</v>
      </c>
      <c r="G17" s="307">
        <f>IF(Inputs!G30="","",Inputs!G30)</f>
        <v>27954</v>
      </c>
      <c r="H17" s="307">
        <f>IF(Inputs!H30="","",Inputs!H30)</f>
        <v>25134</v>
      </c>
      <c r="I17" s="307">
        <f>IF(Inputs!I30="","",Inputs!I30)</f>
        <v>25097</v>
      </c>
      <c r="J17" s="307">
        <f>IF(Inputs!J30="","",Inputs!J30)</f>
        <v>16390</v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>
        <f>IF(Inputs!C32="","",Inputs!C32)</f>
        <v>-212109</v>
      </c>
      <c r="D18" s="144">
        <f>IF(Inputs!D32="","",Inputs!D32)</f>
        <v>-63909</v>
      </c>
      <c r="E18" s="144">
        <f>IF(Inputs!E32="","",Inputs!E32)</f>
        <v>-85212</v>
      </c>
      <c r="F18" s="144">
        <f>IF(Inputs!F32="","",Inputs!F32)</f>
        <v>-137953</v>
      </c>
      <c r="G18" s="144">
        <f>IF(Inputs!G32="","",Inputs!G32)</f>
        <v>-184857</v>
      </c>
      <c r="H18" s="144">
        <f>IF(Inputs!H32="","",Inputs!H32)</f>
        <v>-59025</v>
      </c>
      <c r="I18" s="144">
        <f>IF(Inputs!I32="","",Inputs!I32)</f>
        <v>-13114</v>
      </c>
      <c r="J18" s="144">
        <f>IF(Inputs!J32="","",Inputs!J32)</f>
        <v>-55207</v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270</v>
      </c>
      <c r="D19" s="144">
        <f>IF(Inputs!D29="","",Inputs!D29)</f>
        <v>259</v>
      </c>
      <c r="E19" s="144">
        <f>IF(Inputs!E29="","",Inputs!E29)</f>
        <v>365</v>
      </c>
      <c r="F19" s="144">
        <f>IF(Inputs!F29="","",Inputs!F29)</f>
        <v>116</v>
      </c>
      <c r="G19" s="144">
        <f>IF(Inputs!G29="","",Inputs!G29)</f>
        <v>64</v>
      </c>
      <c r="H19" s="144">
        <f>IF(Inputs!H29="","",Inputs!H29)</f>
        <v>0</v>
      </c>
      <c r="I19" s="144">
        <f>IF(Inputs!I29="","",Inputs!I29)</f>
        <v>0</v>
      </c>
      <c r="J19" s="144">
        <f>IF(Inputs!J29="","",Inputs!J29)</f>
        <v>0</v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>
        <f t="shared" ref="C20:M20" si="7">IF(OR(C6="",C21=""),"",C21/C6)</f>
        <v>1.2424886400218721E-2</v>
      </c>
      <c r="D20" s="227">
        <f t="shared" si="7"/>
        <v>1.1287125110503839E-2</v>
      </c>
      <c r="E20" s="227">
        <f t="shared" si="7"/>
        <v>1.3080346115895286E-2</v>
      </c>
      <c r="F20" s="227">
        <f t="shared" si="7"/>
        <v>1.0390619427329464E-2</v>
      </c>
      <c r="G20" s="227">
        <f t="shared" si="7"/>
        <v>7.5050659356994554E-3</v>
      </c>
      <c r="H20" s="227">
        <f t="shared" si="7"/>
        <v>5.8856326538234268E-3</v>
      </c>
      <c r="I20" s="227">
        <f t="shared" si="7"/>
        <v>6.9300902637968679E-3</v>
      </c>
      <c r="J20" s="227">
        <f t="shared" si="7"/>
        <v>8.2200687857546181E-3</v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>
        <f>IF(Inputs!C33="","",Inputs!C33)</f>
        <v>47627</v>
      </c>
      <c r="D21" s="144">
        <f>IF(Inputs!D33="","",Inputs!D33)</f>
        <v>45913</v>
      </c>
      <c r="E21" s="144">
        <f>IF(Inputs!E33="","",Inputs!E33)</f>
        <v>50573</v>
      </c>
      <c r="F21" s="144">
        <f>IF(Inputs!F33="","",Inputs!F33)</f>
        <v>36563</v>
      </c>
      <c r="G21" s="144">
        <f>IF(Inputs!G33="","",Inputs!G33)</f>
        <v>23174</v>
      </c>
      <c r="H21" s="144">
        <f>IF(Inputs!H33="","",Inputs!H33)</f>
        <v>17650</v>
      </c>
      <c r="I21" s="144">
        <f>IF(Inputs!I33="","",Inputs!I33)</f>
        <v>20113</v>
      </c>
      <c r="J21" s="144">
        <f>IF(Inputs!J33="","",Inputs!J33)</f>
        <v>21618</v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8.5985734090160845E-2</v>
      </c>
      <c r="D22" s="227">
        <f t="shared" si="8"/>
        <v>0.15586080892251505</v>
      </c>
      <c r="E22" s="227">
        <f t="shared" si="8"/>
        <v>8.1705284203257095E-2</v>
      </c>
      <c r="F22" s="227">
        <f t="shared" si="8"/>
        <v>7.3802583630376659E-2</v>
      </c>
      <c r="G22" s="227">
        <f t="shared" si="8"/>
        <v>9.1845891920443845E-2</v>
      </c>
      <c r="H22" s="227">
        <f t="shared" si="8"/>
        <v>7.1794714468452342E-2</v>
      </c>
      <c r="I22" s="227">
        <f t="shared" si="8"/>
        <v>8.9481650748672328E-2</v>
      </c>
      <c r="J22" s="227">
        <f t="shared" si="8"/>
        <v>0.17780109927925153</v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>
        <f>IF(Inputs!C34="","",Inputs!C34)</f>
        <v>329600</v>
      </c>
      <c r="D23" s="144">
        <f>IF(Inputs!D34="","",Inputs!D34)</f>
        <v>634000</v>
      </c>
      <c r="E23" s="144">
        <f>IF(Inputs!E34="","",Inputs!E34)</f>
        <v>315900</v>
      </c>
      <c r="F23" s="144">
        <f>IF(Inputs!F34="","",Inputs!F34)</f>
        <v>259700</v>
      </c>
      <c r="G23" s="144">
        <f>IF(Inputs!G34="","",Inputs!G34)</f>
        <v>283600</v>
      </c>
      <c r="H23" s="144">
        <f>IF(Inputs!H34="","",Inputs!H34)</f>
        <v>215300</v>
      </c>
      <c r="I23" s="144">
        <f>IF(Inputs!I34="","",Inputs!I34)</f>
        <v>259700</v>
      </c>
      <c r="J23" s="144">
        <f>IF(Inputs!J34="","",Inputs!J34)</f>
        <v>467600</v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187336.74763406941</v>
      </c>
      <c r="D24" s="309">
        <f t="shared" si="9"/>
        <v>-166355.23659305996</v>
      </c>
      <c r="E24" s="309">
        <f t="shared" si="9"/>
        <v>147078.56466876972</v>
      </c>
      <c r="F24" s="309">
        <f t="shared" si="9"/>
        <v>182060.3974763407</v>
      </c>
      <c r="G24" s="309">
        <f t="shared" si="9"/>
        <v>40799.813880126167</v>
      </c>
      <c r="H24" s="309">
        <f t="shared" si="9"/>
        <v>55440.173501577287</v>
      </c>
      <c r="I24" s="309">
        <f t="shared" si="9"/>
        <v>-3693.1388012618409</v>
      </c>
      <c r="J24" s="309">
        <f t="shared" si="9"/>
        <v>-176292.38801261829</v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3.8731244100872537E-2</v>
      </c>
      <c r="D25" s="143">
        <f t="shared" si="10"/>
        <v>-3.2410327179863377E-2</v>
      </c>
      <c r="E25" s="143">
        <f t="shared" si="10"/>
        <v>3.0147352078906769E-2</v>
      </c>
      <c r="F25" s="143">
        <f t="shared" si="10"/>
        <v>4.1002881057346341E-2</v>
      </c>
      <c r="G25" s="143">
        <f t="shared" si="10"/>
        <v>1.047154979579186E-2</v>
      </c>
      <c r="H25" s="143">
        <f t="shared" si="10"/>
        <v>1.4651169556906899E-2</v>
      </c>
      <c r="I25" s="143">
        <f t="shared" si="10"/>
        <v>-1.0084559643120882E-3</v>
      </c>
      <c r="J25" s="143">
        <f t="shared" si="10"/>
        <v>-5.3124244982233199E-2</v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148464.3725</v>
      </c>
      <c r="D26" s="276">
        <f>IF(D6="","",D24*(1-Fin_Analysis!$I$84))</f>
        <v>-131836.52500000002</v>
      </c>
      <c r="E26" s="276">
        <f>IF(E6="","",E24*(1-Fin_Analysis!$I$84))</f>
        <v>116559.7625</v>
      </c>
      <c r="F26" s="276">
        <f>IF(F6="","",F24*(1-Fin_Analysis!$I$84))</f>
        <v>144282.86499999999</v>
      </c>
      <c r="G26" s="276">
        <f>IF(G6="","",G24*(1-Fin_Analysis!$I$84))</f>
        <v>32333.852499999986</v>
      </c>
      <c r="H26" s="276">
        <f>IF(H6="","",H24*(1-Fin_Analysis!$I$84))</f>
        <v>43936.337500000001</v>
      </c>
      <c r="I26" s="276">
        <f>IF(I6="","",I24*(1-Fin_Analysis!$I$84))</f>
        <v>-2926.8125000000086</v>
      </c>
      <c r="J26" s="276">
        <f>IF(J6="","",J24*(1-Fin_Analysis!$I$84))</f>
        <v>-139711.7175</v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-0.19214410872697874</v>
      </c>
      <c r="F27" s="305">
        <f t="shared" si="11"/>
        <v>3.4622849999083796</v>
      </c>
      <c r="G27" s="305">
        <f t="shared" si="11"/>
        <v>-0.26407492431520979</v>
      </c>
      <c r="H27" s="305" t="str">
        <f t="shared" si="11"/>
        <v>Turn</v>
      </c>
      <c r="I27" s="305">
        <f t="shared" si="11"/>
        <v>0.979051059192655</v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4569346</v>
      </c>
      <c r="D29" s="147">
        <f>IF(D36="","",D36+D32)</f>
        <v>4570888</v>
      </c>
      <c r="E29" s="147">
        <f t="shared" ref="E29:M29" si="21">IF(E36="","",E36+E32)</f>
        <v>5176695</v>
      </c>
      <c r="F29" s="147">
        <f t="shared" si="21"/>
        <v>5108514</v>
      </c>
      <c r="G29" s="147">
        <f t="shared" si="21"/>
        <v>4571545</v>
      </c>
      <c r="H29" s="147">
        <f t="shared" si="21"/>
        <v>4391269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422018</v>
      </c>
      <c r="D30" s="144">
        <f>IF(Inputs!D35="","",Inputs!D35)</f>
        <v>372854</v>
      </c>
      <c r="E30" s="144">
        <f>IF(Inputs!E35="","",Inputs!E35)</f>
        <v>475382</v>
      </c>
      <c r="F30" s="144">
        <f>IF(Inputs!F35="","",Inputs!F35)</f>
        <v>508545</v>
      </c>
      <c r="G30" s="144">
        <f>IF(Inputs!G35="","",Inputs!G35)</f>
        <v>421056</v>
      </c>
      <c r="H30" s="144">
        <f>IF(Inputs!H35="","",Inputs!H35)</f>
        <v>449932</v>
      </c>
      <c r="I30" s="144">
        <f>IF(Inputs!I35="","",Inputs!I35)</f>
        <v>420626</v>
      </c>
      <c r="J30" s="144">
        <f>IF(Inputs!J35="","",Inputs!J35)</f>
        <v>296371</v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370793</v>
      </c>
      <c r="D31" s="144">
        <f>IF(Inputs!D36="","",Inputs!D36)</f>
        <v>415015</v>
      </c>
      <c r="E31" s="144">
        <f>IF(Inputs!E36="","",Inputs!E36)</f>
        <v>464999</v>
      </c>
      <c r="F31" s="144">
        <f>IF(Inputs!F36="","",Inputs!F36)</f>
        <v>363144</v>
      </c>
      <c r="G31" s="144">
        <f>IF(Inputs!G36="","",Inputs!G36)</f>
        <v>326593</v>
      </c>
      <c r="H31" s="144">
        <f>IF(Inputs!H36="","",Inputs!H36)</f>
        <v>294086</v>
      </c>
      <c r="I31" s="144">
        <f>IF(Inputs!I36="","",Inputs!I36)</f>
        <v>290728</v>
      </c>
      <c r="J31" s="144">
        <f>IF(Inputs!J36="","",Inputs!J36)</f>
        <v>215131</v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903222</v>
      </c>
      <c r="D32" s="144">
        <f>IF(Inputs!D37="","",Inputs!D37)</f>
        <v>896185</v>
      </c>
      <c r="E32" s="144">
        <f>IF(Inputs!E37="","",Inputs!E37)</f>
        <v>1060434</v>
      </c>
      <c r="F32" s="144">
        <f>IF(Inputs!F37="","",Inputs!F37)</f>
        <v>1065331</v>
      </c>
      <c r="G32" s="144">
        <f>IF(Inputs!G37="","",Inputs!G37)</f>
        <v>859227</v>
      </c>
      <c r="H32" s="144">
        <f>IF(Inputs!H37="","",Inputs!H37)</f>
        <v>796096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5523</v>
      </c>
      <c r="D33" s="144">
        <f>IF(Inputs!D39="","",Inputs!D39)</f>
        <v>8558</v>
      </c>
      <c r="E33" s="144">
        <f>IF(Inputs!E39="","",Inputs!E39)</f>
        <v>5576</v>
      </c>
      <c r="F33" s="144">
        <f>IF(Inputs!F39="","",Inputs!F39)</f>
        <v>7278</v>
      </c>
      <c r="G33" s="144">
        <f>IF(Inputs!G39="","",Inputs!G39)</f>
        <v>1660</v>
      </c>
      <c r="H33" s="144">
        <f>IF(Inputs!H39="","",Inputs!H39)</f>
        <v>0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2115</v>
      </c>
      <c r="D34" s="144">
        <f>IF(Inputs!D40="","",Inputs!D40)</f>
        <v>1113</v>
      </c>
      <c r="E34" s="144">
        <f>IF(Inputs!E40="","",Inputs!E40)</f>
        <v>5636</v>
      </c>
      <c r="F34" s="144">
        <f>IF(Inputs!F40="","",Inputs!F40)</f>
        <v>9396</v>
      </c>
      <c r="G34" s="144">
        <f>IF(Inputs!G40="","",Inputs!G40)</f>
        <v>131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7638</v>
      </c>
      <c r="D35" s="97">
        <f t="shared" ref="D35" si="23">IF(OR(D33="",D34=""),"",D33+D34)</f>
        <v>9671</v>
      </c>
      <c r="E35" s="97">
        <f t="shared" ref="E35" si="24">IF(OR(E33="",E34=""),"",E33+E34)</f>
        <v>11212</v>
      </c>
      <c r="F35" s="97">
        <f t="shared" ref="F35" si="25">IF(OR(F33="",F34=""),"",F33+F34)</f>
        <v>16674</v>
      </c>
      <c r="G35" s="97">
        <f t="shared" ref="G35" si="26">IF(OR(G33="",G34=""),"",G33+G34)</f>
        <v>1791</v>
      </c>
      <c r="H35" s="97">
        <f t="shared" ref="H35" si="27">IF(OR(H33="",H34=""),"",H33+H34)</f>
        <v>0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3666124</v>
      </c>
      <c r="D36" s="144">
        <f>IF(Inputs!D41="","",Inputs!D41)</f>
        <v>3674703</v>
      </c>
      <c r="E36" s="144">
        <f>IF(Inputs!E41="","",Inputs!E41)</f>
        <v>4116261</v>
      </c>
      <c r="F36" s="144">
        <f>IF(Inputs!F41="","",Inputs!F41)</f>
        <v>4043183</v>
      </c>
      <c r="G36" s="144">
        <f>IF(Inputs!G41="","",Inputs!G41)</f>
        <v>3712318</v>
      </c>
      <c r="H36" s="144">
        <f>IF(Inputs!H41="","",Inputs!H41)</f>
        <v>3595173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45613</v>
      </c>
      <c r="D37" s="144">
        <f>IF(Inputs!D42="","",Inputs!D42)</f>
        <v>43262</v>
      </c>
      <c r="E37" s="144">
        <f>IF(Inputs!E42="","",Inputs!E42)</f>
        <v>165622</v>
      </c>
      <c r="F37" s="144">
        <f>IF(Inputs!F42="","",Inputs!F42)</f>
        <v>143504</v>
      </c>
      <c r="G37" s="144">
        <f>IF(Inputs!G42="","",Inputs!G42)</f>
        <v>122753</v>
      </c>
      <c r="H37" s="144">
        <f>IF(Inputs!H42="","",Inputs!H42)</f>
        <v>114637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>
        <f>IF(Inputs!D43="","",Inputs!D43)</f>
        <v>1696980</v>
      </c>
      <c r="E38" s="144">
        <f>IF(Inputs!E43="","",Inputs!E43)</f>
        <v>2130407</v>
      </c>
      <c r="F38" s="144">
        <f>IF(Inputs!F43="","",Inputs!F43)</f>
        <v>2344902</v>
      </c>
      <c r="G38" s="144">
        <f>IF(Inputs!G43="","",Inputs!G43)</f>
        <v>2164713</v>
      </c>
      <c r="H38" s="144">
        <f>IF(Inputs!H43="","",Inputs!H43)</f>
        <v>2079261</v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2900714</v>
      </c>
      <c r="D39" s="147">
        <f t="shared" ref="D39:M39" si="33">IF(D38="","",D29-D38)</f>
        <v>2873908</v>
      </c>
      <c r="E39" s="147">
        <f t="shared" si="33"/>
        <v>3046288</v>
      </c>
      <c r="F39" s="147">
        <f t="shared" si="33"/>
        <v>2763612</v>
      </c>
      <c r="G39" s="147">
        <f t="shared" si="33"/>
        <v>2406832</v>
      </c>
      <c r="H39" s="147">
        <f t="shared" si="33"/>
        <v>2312008</v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0.1618841939033181</v>
      </c>
      <c r="D40" s="148">
        <f>IF(D6="","",D14/MAX(D39,0))</f>
        <v>0.14683516779484243</v>
      </c>
      <c r="E40" s="148">
        <f>IF(E6="","",E14/MAX(E39,0))</f>
        <v>0.13549952094771398</v>
      </c>
      <c r="F40" s="148">
        <f t="shared" ref="F40:M40" si="34">IF(F39="","",F14/F39)</f>
        <v>0.14666074596446271</v>
      </c>
      <c r="G40" s="148">
        <f t="shared" si="34"/>
        <v>0.12518107366036607</v>
      </c>
      <c r="H40" s="148">
        <f t="shared" si="34"/>
        <v>0.1094676893425876</v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0.66005868735054896</v>
      </c>
      <c r="D42" s="150">
        <f t="shared" si="35"/>
        <v>0.67972447545708514</v>
      </c>
      <c r="E42" s="150">
        <f t="shared" si="35"/>
        <v>0.68256268533378506</v>
      </c>
      <c r="F42" s="150">
        <f t="shared" si="35"/>
        <v>0.67072254065038917</v>
      </c>
      <c r="G42" s="150">
        <f t="shared" si="35"/>
        <v>0.67179343353689913</v>
      </c>
      <c r="H42" s="150">
        <f t="shared" si="35"/>
        <v>0.68874540320418509</v>
      </c>
      <c r="I42" s="150">
        <f t="shared" si="35"/>
        <v>0.64353259912668392</v>
      </c>
      <c r="J42" s="150">
        <f t="shared" si="35"/>
        <v>0.60409862713672169</v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0.21645682425674254</v>
      </c>
      <c r="D43" s="146">
        <f t="shared" si="36"/>
        <v>0.20718646164496579</v>
      </c>
      <c r="E43" s="146">
        <f t="shared" si="36"/>
        <v>0.19911932101072463</v>
      </c>
      <c r="F43" s="146">
        <f t="shared" si="36"/>
        <v>0.2031023230052344</v>
      </c>
      <c r="G43" s="146">
        <f t="shared" si="36"/>
        <v>0.21920822752649879</v>
      </c>
      <c r="H43" s="146">
        <f t="shared" si="36"/>
        <v>0.21628249436113042</v>
      </c>
      <c r="I43" s="146">
        <f t="shared" si="36"/>
        <v>0.26427683700109328</v>
      </c>
      <c r="J43" s="146">
        <f t="shared" si="36"/>
        <v>0.28549016029096108</v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7.0437342852983705E-5</v>
      </c>
      <c r="D45" s="146">
        <f t="shared" si="38"/>
        <v>6.3671844654465925E-5</v>
      </c>
      <c r="E45" s="146">
        <f t="shared" si="38"/>
        <v>9.440464936432048E-5</v>
      </c>
      <c r="F45" s="146">
        <f t="shared" si="38"/>
        <v>3.2965343477565238E-5</v>
      </c>
      <c r="G45" s="146">
        <f t="shared" si="38"/>
        <v>2.0726858543400585E-5</v>
      </c>
      <c r="H45" s="146">
        <f t="shared" si="38"/>
        <v>0</v>
      </c>
      <c r="I45" s="146">
        <f t="shared" si="38"/>
        <v>0</v>
      </c>
      <c r="J45" s="146">
        <f t="shared" si="38"/>
        <v>0</v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9.8097105597332122E-4</v>
      </c>
      <c r="D46" s="146">
        <f t="shared" si="39"/>
        <v>9.3480191401645787E-3</v>
      </c>
      <c r="E46" s="146">
        <f t="shared" si="39"/>
        <v>1.1557828106263499E-2</v>
      </c>
      <c r="F46" s="146">
        <f t="shared" si="39"/>
        <v>1.0991555621389423E-2</v>
      </c>
      <c r="G46" s="146">
        <f t="shared" si="39"/>
        <v>1.1423474048151024E-2</v>
      </c>
      <c r="H46" s="146">
        <f t="shared" si="39"/>
        <v>1.0575740422065792E-2</v>
      </c>
      <c r="I46" s="146">
        <f t="shared" si="39"/>
        <v>1.0911503026857875E-2</v>
      </c>
      <c r="J46" s="146">
        <f t="shared" si="39"/>
        <v>7.8639296904710609E-3</v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7.3560847689942116E-2</v>
      </c>
      <c r="D47" s="146">
        <f t="shared" si="40"/>
        <v>0.14457368381201122</v>
      </c>
      <c r="E47" s="146">
        <f t="shared" si="40"/>
        <v>6.8624938087361809E-2</v>
      </c>
      <c r="F47" s="146">
        <f t="shared" si="40"/>
        <v>6.3411964203047191E-2</v>
      </c>
      <c r="G47" s="146">
        <f t="shared" si="40"/>
        <v>8.4340825984744378E-2</v>
      </c>
      <c r="H47" s="146">
        <f t="shared" si="40"/>
        <v>6.5909081814628914E-2</v>
      </c>
      <c r="I47" s="146">
        <f t="shared" si="40"/>
        <v>8.2551560484875469E-2</v>
      </c>
      <c r="J47" s="146">
        <f t="shared" si="40"/>
        <v>0.1695810304934969</v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4.8872232303940111E-2</v>
      </c>
      <c r="D48" s="281">
        <f t="shared" si="41"/>
        <v>-4.0896311898881238E-2</v>
      </c>
      <c r="E48" s="281">
        <f t="shared" si="41"/>
        <v>3.8040822812500652E-2</v>
      </c>
      <c r="F48" s="281">
        <f t="shared" si="41"/>
        <v>5.1738651176462265E-2</v>
      </c>
      <c r="G48" s="281">
        <f t="shared" si="41"/>
        <v>1.321331204516323E-2</v>
      </c>
      <c r="H48" s="281">
        <f t="shared" si="41"/>
        <v>1.8487280197989776E-2</v>
      </c>
      <c r="I48" s="281">
        <f t="shared" si="41"/>
        <v>-1.2724996395105214E-3</v>
      </c>
      <c r="J48" s="281">
        <f t="shared" si="41"/>
        <v>-6.7033747611650721E-2</v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0.83889335585442648</v>
      </c>
      <c r="D50" s="153">
        <f t="shared" si="42"/>
        <v>0.88992160823017319</v>
      </c>
      <c r="E50" s="153">
        <f t="shared" si="42"/>
        <v>0.74687324634733165</v>
      </c>
      <c r="F50" s="153">
        <f t="shared" si="42"/>
        <v>0.68882007566192438</v>
      </c>
      <c r="G50" s="153">
        <f t="shared" si="42"/>
        <v>0.67543489126761302</v>
      </c>
      <c r="H50" s="153">
        <f t="shared" si="42"/>
        <v>0.68290692280523013</v>
      </c>
      <c r="I50" s="153" t="e">
        <f t="shared" si="42"/>
        <v>#VALUE!</v>
      </c>
      <c r="J50" s="153" t="e">
        <f t="shared" si="42"/>
        <v>#VALUE!</v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0.11009565391159436</v>
      </c>
      <c r="D51" s="146">
        <f t="shared" si="43"/>
        <v>9.1661397555197838E-2</v>
      </c>
      <c r="E51" s="146">
        <f t="shared" si="43"/>
        <v>0.12295416718934081</v>
      </c>
      <c r="F51" s="146">
        <f t="shared" si="43"/>
        <v>0.1445203499896415</v>
      </c>
      <c r="G51" s="146">
        <f t="shared" si="43"/>
        <v>0.13636200235703244</v>
      </c>
      <c r="H51" s="146">
        <f t="shared" si="43"/>
        <v>0.1500359473767752</v>
      </c>
      <c r="I51" s="146">
        <f t="shared" si="43"/>
        <v>0.14492995312980766</v>
      </c>
      <c r="J51" s="146">
        <f t="shared" si="43"/>
        <v>0.11269266380344538</v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9.6732124698097721E-2</v>
      </c>
      <c r="D52" s="146">
        <f t="shared" si="44"/>
        <v>0.10202614134854508</v>
      </c>
      <c r="E52" s="146">
        <f t="shared" si="44"/>
        <v>0.12026867821851961</v>
      </c>
      <c r="F52" s="146">
        <f t="shared" si="44"/>
        <v>0.10319971286049096</v>
      </c>
      <c r="G52" s="146">
        <f t="shared" si="44"/>
        <v>0.10576948300413792</v>
      </c>
      <c r="H52" s="146">
        <f t="shared" si="44"/>
        <v>9.8066978166136909E-2</v>
      </c>
      <c r="I52" s="146">
        <f t="shared" si="44"/>
        <v>0.10017258898290339</v>
      </c>
      <c r="J52" s="146">
        <f t="shared" si="44"/>
        <v>8.1801814133970613E-2</v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>
        <f t="shared" ref="C53:M53" si="45">IF(D6="","",C18/(C6-D6))</f>
        <v>0.90436944119929397</v>
      </c>
      <c r="D53" s="146">
        <f t="shared" si="45"/>
        <v>-0.31732846070199655</v>
      </c>
      <c r="E53" s="146">
        <f t="shared" si="45"/>
        <v>-0.24522285661663137</v>
      </c>
      <c r="F53" s="146">
        <f t="shared" si="45"/>
        <v>-0.32002755958484314</v>
      </c>
      <c r="G53" s="146">
        <f t="shared" si="45"/>
        <v>-2.0781423898013558</v>
      </c>
      <c r="H53" s="146">
        <f t="shared" si="45"/>
        <v>-0.61129695413072072</v>
      </c>
      <c r="I53" s="146">
        <f t="shared" si="45"/>
        <v>-4.8148447309869807E-2</v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0.79234774516965889</v>
      </c>
      <c r="D55" s="150">
        <f t="shared" si="46"/>
        <v>0.79447166502438915</v>
      </c>
      <c r="E55" s="150">
        <f t="shared" si="46"/>
        <v>0.76315854034282493</v>
      </c>
      <c r="F55" s="150">
        <f t="shared" si="46"/>
        <v>0.76336856471373082</v>
      </c>
      <c r="G55" s="150">
        <f t="shared" si="46"/>
        <v>0.78519734575510025</v>
      </c>
      <c r="H55" s="150">
        <f t="shared" si="46"/>
        <v>0.79260368699799533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24.526937370263081</v>
      </c>
      <c r="D56" s="154">
        <f t="shared" si="47"/>
        <v>-17.20145141071864</v>
      </c>
      <c r="E56" s="154">
        <f t="shared" si="47"/>
        <v>13.117959745698334</v>
      </c>
      <c r="F56" s="154">
        <f t="shared" si="47"/>
        <v>10.918819567970536</v>
      </c>
      <c r="G56" s="154">
        <f t="shared" si="47"/>
        <v>22.780465594710311</v>
      </c>
      <c r="H56" s="154" t="str">
        <f t="shared" si="47"/>
        <v>-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1.4412548707603233E-3</v>
      </c>
      <c r="D57" s="146">
        <f t="shared" si="48"/>
        <v>-1.5569092100994012E-3</v>
      </c>
      <c r="E57" s="146">
        <f t="shared" si="48"/>
        <v>2.4816668616667779E-3</v>
      </c>
      <c r="F57" s="146">
        <f t="shared" si="48"/>
        <v>6.3715119602040062E-4</v>
      </c>
      <c r="G57" s="146">
        <f t="shared" si="48"/>
        <v>1.5686346067175269E-3</v>
      </c>
      <c r="H57" s="146" t="str">
        <f t="shared" si="48"/>
        <v>-</v>
      </c>
      <c r="I57" s="146" t="str">
        <f t="shared" si="48"/>
        <v>-</v>
      </c>
      <c r="J57" s="146" t="str">
        <f t="shared" si="48"/>
        <v>-</v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>
        <f>IF(D36="","",IF(Inputs!D38=0,0,Inputs!D38/D29))</f>
        <v>2.4687763077983971E-2</v>
      </c>
      <c r="E58" s="146">
        <f>IF(E36="","",IF(Inputs!E38=0,0,Inputs!E38/E29))</f>
        <v>1.6009055971039438E-2</v>
      </c>
      <c r="F58" s="146">
        <f>IF(F36="","",IF(Inputs!F38=0,0,Inputs!F38/F29))</f>
        <v>1.4752039438474671E-2</v>
      </c>
      <c r="G58" s="146">
        <f>IF(G36="","",IF(Inputs!G38=0,0,Inputs!G38/G29))</f>
        <v>1.3646371193983653E-2</v>
      </c>
      <c r="H58" s="146">
        <f>IF(H36="","",IF(Inputs!H38=0,0,Inputs!H38/H29))</f>
        <v>1.2092859717771787E-2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0.12969985386981822</v>
      </c>
      <c r="D60" s="156">
        <f t="shared" si="50"/>
        <v>0.11620476923814542</v>
      </c>
      <c r="E60" s="156">
        <f t="shared" si="50"/>
        <v>0.10448197485742679</v>
      </c>
      <c r="F60" s="156">
        <f t="shared" si="50"/>
        <v>0.10393506682892123</v>
      </c>
      <c r="G60" s="156">
        <f t="shared" si="50"/>
        <v>8.3934909628360588E-2</v>
      </c>
      <c r="H60" s="156">
        <f t="shared" si="50"/>
        <v>7.2715861436737694E-2</v>
      </c>
      <c r="I60" s="156" t="e">
        <f t="shared" si="50"/>
        <v>#VALUE!</v>
      </c>
      <c r="J60" s="156" t="e">
        <f t="shared" si="50"/>
        <v>#VALUE!</v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5.1743178693303075E-2</v>
      </c>
      <c r="D61" s="156">
        <f t="shared" si="51"/>
        <v>-4.5809703804374068E-2</v>
      </c>
      <c r="E61" s="156">
        <f t="shared" si="51"/>
        <v>3.7229057038309428E-2</v>
      </c>
      <c r="F61" s="156">
        <f t="shared" si="51"/>
        <v>4.668599581564039E-2</v>
      </c>
      <c r="G61" s="156">
        <f t="shared" si="51"/>
        <v>1.1366227907873562E-2</v>
      </c>
      <c r="H61" s="156">
        <f t="shared" si="51"/>
        <v>1.5928630964189793E-2</v>
      </c>
      <c r="I61" s="156" t="e">
        <f t="shared" si="51"/>
        <v>#VALUE!</v>
      </c>
      <c r="J61" s="156" t="e">
        <f t="shared" si="51"/>
        <v>#VALUE!</v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3666124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3620511</v>
      </c>
      <c r="K3" s="75"/>
    </row>
    <row r="4" spans="1:11" ht="15" customHeight="1" x14ac:dyDescent="0.35">
      <c r="B4" s="9" t="s">
        <v>22</v>
      </c>
      <c r="C4" s="3"/>
      <c r="D4" s="144">
        <f>Inputs!C42</f>
        <v>45613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1094271.3434696342</v>
      </c>
      <c r="E6" s="170">
        <f>1-D6/D3</f>
        <v>0.7015181855633813</v>
      </c>
      <c r="F6" s="3"/>
      <c r="G6" s="3"/>
      <c r="H6" s="2" t="s">
        <v>25</v>
      </c>
      <c r="I6" s="168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1.0484624665802909</v>
      </c>
      <c r="E7" s="167" t="str">
        <f>Dashboard!H3</f>
        <v>HKD</v>
      </c>
      <c r="H7" s="2" t="s">
        <v>26</v>
      </c>
      <c r="I7" s="168">
        <f>C24/I28</f>
        <v>2.447959253563134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1322113</v>
      </c>
      <c r="D11" s="258">
        <f>Inputs!D48</f>
        <v>0.9</v>
      </c>
      <c r="E11" s="176">
        <f t="shared" ref="E11:E22" si="0">C11*D11</f>
        <v>1189901.7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5523</v>
      </c>
      <c r="J12" s="3"/>
      <c r="K12" s="75"/>
    </row>
    <row r="13" spans="1:11" ht="11.65" x14ac:dyDescent="0.35">
      <c r="B13" s="9" t="s">
        <v>106</v>
      </c>
      <c r="C13" s="175">
        <f>Inputs!C50</f>
        <v>422018</v>
      </c>
      <c r="D13" s="258">
        <f>Inputs!D50</f>
        <v>0.6</v>
      </c>
      <c r="E13" s="176">
        <f t="shared" si="0"/>
        <v>253210.8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221617</v>
      </c>
      <c r="D14" s="258">
        <f>Inputs!D51</f>
        <v>0.6</v>
      </c>
      <c r="E14" s="176">
        <f t="shared" si="0"/>
        <v>132970.19999999998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5523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63587</v>
      </c>
      <c r="D17" s="258">
        <f>Inputs!D54</f>
        <v>0.1</v>
      </c>
      <c r="E17" s="176">
        <f t="shared" si="0"/>
        <v>6358.7000000000007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370793</v>
      </c>
      <c r="D18" s="258">
        <f>Inputs!D55</f>
        <v>0.5</v>
      </c>
      <c r="E18" s="176">
        <f t="shared" si="0"/>
        <v>185396.5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22411</v>
      </c>
      <c r="D21" s="258">
        <f>Inputs!D58</f>
        <v>0.9</v>
      </c>
      <c r="E21" s="176">
        <f t="shared" si="0"/>
        <v>20169.900000000001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797492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1965748</v>
      </c>
      <c r="D24" s="185">
        <f>IF(E24=0,0,E24/C24)</f>
        <v>0.80177250593667138</v>
      </c>
      <c r="E24" s="176">
        <f>SUM(E11:E14)</f>
        <v>1576082.7</v>
      </c>
      <c r="F24" s="186">
        <f>E24/$E$28</f>
        <v>0.88147417477709</v>
      </c>
      <c r="G24" s="3"/>
    </row>
    <row r="25" spans="2:10" ht="15" customHeight="1" x14ac:dyDescent="0.35">
      <c r="B25" s="183" t="s">
        <v>48</v>
      </c>
      <c r="C25" s="184">
        <f>SUM(C15:C17)</f>
        <v>63587</v>
      </c>
      <c r="D25" s="185">
        <f>IF(E25=0,0,E25/C25)</f>
        <v>0.1</v>
      </c>
      <c r="E25" s="176">
        <f>SUM(E15:E17)</f>
        <v>6358.7000000000007</v>
      </c>
      <c r="F25" s="186">
        <f>E25/$E$28</f>
        <v>3.5563043964349605E-3</v>
      </c>
      <c r="G25" s="3"/>
      <c r="H25" s="183" t="s">
        <v>49</v>
      </c>
      <c r="I25" s="168">
        <f>E28/I28</f>
        <v>2.2266181827238594</v>
      </c>
    </row>
    <row r="26" spans="2:10" ht="15" customHeight="1" x14ac:dyDescent="0.35">
      <c r="B26" s="183" t="s">
        <v>50</v>
      </c>
      <c r="C26" s="184">
        <f>C18+C19+C20</f>
        <v>370793</v>
      </c>
      <c r="D26" s="185">
        <f>IF(E26=0,0,E26/C26)</f>
        <v>0.5</v>
      </c>
      <c r="E26" s="176">
        <f>E18+E19+E20</f>
        <v>185396.5</v>
      </c>
      <c r="F26" s="186">
        <f>E26/$E$28</f>
        <v>0.10368886533940178</v>
      </c>
      <c r="G26" s="3"/>
      <c r="H26" s="183" t="s">
        <v>51</v>
      </c>
      <c r="I26" s="168">
        <f>E24/($I$28-I22)</f>
        <v>285.36713742531231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22411</v>
      </c>
      <c r="D27" s="185">
        <f>IF(E27=0,0,E27/C27)</f>
        <v>0.9</v>
      </c>
      <c r="E27" s="176">
        <f>E21+E22</f>
        <v>20169.900000000001</v>
      </c>
      <c r="F27" s="186">
        <f>E27/$E$28</f>
        <v>1.128065548707338E-2</v>
      </c>
      <c r="G27" s="3"/>
      <c r="H27" s="183" t="s">
        <v>53</v>
      </c>
      <c r="I27" s="168">
        <f>(E25+E24)/$I$28</f>
        <v>1.9706249571925802</v>
      </c>
      <c r="J27" s="187" t="str">
        <f>IF(OR(I27&lt;0.75,C28&lt;I28),"Liquidity Issue!","")</f>
        <v/>
      </c>
    </row>
    <row r="28" spans="2:10" ht="15" customHeight="1" x14ac:dyDescent="0.35">
      <c r="B28" s="188" t="s">
        <v>15</v>
      </c>
      <c r="C28" s="189">
        <f>SUM(C11:C22)</f>
        <v>2422539</v>
      </c>
      <c r="D28" s="190">
        <f>E28/C28</f>
        <v>0.73807183289928446</v>
      </c>
      <c r="E28" s="191">
        <f>SUM(E24:E27)</f>
        <v>1788007.7999999998</v>
      </c>
      <c r="F28" s="87"/>
      <c r="G28" s="3"/>
      <c r="H28" s="188" t="s">
        <v>16</v>
      </c>
      <c r="I28" s="161">
        <f>Inputs!C77</f>
        <v>803015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39731</v>
      </c>
      <c r="D31" s="258">
        <f>Inputs!D61</f>
        <v>0.6</v>
      </c>
      <c r="E31" s="176">
        <f t="shared" ref="E31:E42" si="1">C31*D31</f>
        <v>23838.6</v>
      </c>
      <c r="F31" s="260"/>
      <c r="G31" s="3"/>
      <c r="H31" s="9" t="s">
        <v>57</v>
      </c>
      <c r="I31" s="175">
        <f>Inputs!C79</f>
        <v>2115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2115</v>
      </c>
      <c r="J34" s="3"/>
    </row>
    <row r="35" spans="2:10" ht="11.65" x14ac:dyDescent="0.35">
      <c r="B35" s="9" t="s">
        <v>63</v>
      </c>
      <c r="C35" s="175">
        <f>Inputs!C65</f>
        <v>85171</v>
      </c>
      <c r="D35" s="258">
        <f>Inputs!D65</f>
        <v>0.1</v>
      </c>
      <c r="E35" s="176">
        <f t="shared" si="1"/>
        <v>8517.1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1863998</v>
      </c>
      <c r="D38" s="258">
        <f>Inputs!D68</f>
        <v>0.1</v>
      </c>
      <c r="E38" s="176">
        <f t="shared" si="1"/>
        <v>186399.80000000002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23958</v>
      </c>
      <c r="D40" s="258">
        <f>Inputs!D70</f>
        <v>0.05</v>
      </c>
      <c r="E40" s="176">
        <f t="shared" si="1"/>
        <v>1197.9000000000001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71331</v>
      </c>
      <c r="D41" s="258">
        <f>Inputs!D71</f>
        <v>0.9</v>
      </c>
      <c r="E41" s="176">
        <f t="shared" si="1"/>
        <v>64197.9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62618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39731</v>
      </c>
      <c r="D44" s="185">
        <f>IF(E44=0,0,E44/C44)</f>
        <v>0.6</v>
      </c>
      <c r="E44" s="176">
        <f>SUM(E30:E31)</f>
        <v>23838.6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85171</v>
      </c>
      <c r="D45" s="185">
        <f>IF(E45=0,0,E45/C45)</f>
        <v>0.1</v>
      </c>
      <c r="E45" s="176">
        <f>SUM(E32:E35)</f>
        <v>8517.1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1863998</v>
      </c>
      <c r="D46" s="185">
        <f>IF(E46=0,0,E46/C46)</f>
        <v>0.1</v>
      </c>
      <c r="E46" s="176">
        <f>E36+E37+E38+E39</f>
        <v>186399.80000000002</v>
      </c>
      <c r="F46" s="3"/>
      <c r="G46" s="3"/>
      <c r="H46" s="183" t="s">
        <v>74</v>
      </c>
      <c r="I46" s="168">
        <f>(E44+E24)/E64</f>
        <v>209.46861743912021</v>
      </c>
      <c r="J46" s="187" t="str">
        <f>IF(I46&lt;1,"Liquidity Problem!","")</f>
        <v/>
      </c>
    </row>
    <row r="47" spans="2:10" ht="15" customHeight="1" x14ac:dyDescent="0.35">
      <c r="B47" s="183" t="s">
        <v>75</v>
      </c>
      <c r="C47" s="184">
        <f>C40+C41+C42</f>
        <v>157907</v>
      </c>
      <c r="D47" s="185">
        <f>IF(E47=0,0,E47/C47)</f>
        <v>0.41414123503074596</v>
      </c>
      <c r="E47" s="176">
        <f>E40+E41+E42</f>
        <v>65395.8</v>
      </c>
      <c r="F47" s="3"/>
      <c r="G47" s="3"/>
      <c r="H47" s="183" t="s">
        <v>76</v>
      </c>
      <c r="I47" s="168">
        <f>(E44+E45+E24+E25)/$I$49</f>
        <v>1.7878186093784252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77</v>
      </c>
      <c r="C48" s="194">
        <f>SUM(C30:C42)</f>
        <v>2146807</v>
      </c>
      <c r="D48" s="195">
        <f>E48/C48</f>
        <v>0.13235996528798349</v>
      </c>
      <c r="E48" s="196">
        <f>SUM(E30:E42)</f>
        <v>284151.3</v>
      </c>
      <c r="F48" s="3"/>
      <c r="G48" s="3"/>
      <c r="H48" s="91" t="s">
        <v>78</v>
      </c>
      <c r="I48" s="197">
        <f>I49-I28</f>
        <v>100207</v>
      </c>
      <c r="J48" s="187"/>
    </row>
    <row r="49" spans="2:11" ht="15" customHeight="1" thickTop="1" x14ac:dyDescent="0.35">
      <c r="B49" s="9" t="s">
        <v>14</v>
      </c>
      <c r="C49" s="184">
        <f>Inputs!C41+Inputs!C37</f>
        <v>4569346</v>
      </c>
      <c r="D49" s="170">
        <f>E49/C49</f>
        <v>0.45349139679945444</v>
      </c>
      <c r="E49" s="176">
        <f>E28+E48</f>
        <v>2072159.0999999999</v>
      </c>
      <c r="F49" s="3"/>
      <c r="G49" s="3"/>
      <c r="H49" s="9" t="s">
        <v>79</v>
      </c>
      <c r="I49" s="175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45613</v>
      </c>
      <c r="D53" s="34">
        <f>IF(E53=0, 0,E53/C53)</f>
        <v>1.636940269887216</v>
      </c>
      <c r="E53" s="176">
        <f>IF(C53=0,0,MAX(C53,C53*Dashboard!G23))</f>
        <v>74665.756530365587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7638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346519</v>
      </c>
      <c r="D61" s="170">
        <f t="shared" ref="D61:D70" si="2">IF(E61=0,0,E61/C61)</f>
        <v>0.47710486293680865</v>
      </c>
      <c r="E61" s="182">
        <f>E14+E15+(E19*G19)+(E20*G20)+E31+E32+(E35*G35)+(E36*G36)+(E37*G37)</f>
        <v>165325.9</v>
      </c>
      <c r="F61" s="3"/>
      <c r="G61" s="3"/>
      <c r="H61" s="2" t="s">
        <v>254</v>
      </c>
      <c r="I61" s="203">
        <f>C99*Data!$C$4/Common_Shares</f>
        <v>1.1200025317826681</v>
      </c>
      <c r="K61" s="172"/>
    </row>
    <row r="62" spans="2:11" ht="11.65" x14ac:dyDescent="0.35">
      <c r="B62" s="12" t="s">
        <v>128</v>
      </c>
      <c r="C62" s="204">
        <f>C11+C30</f>
        <v>1322113</v>
      </c>
      <c r="D62" s="205">
        <f t="shared" si="2"/>
        <v>0.89999999999999991</v>
      </c>
      <c r="E62" s="206">
        <f>E11+E30</f>
        <v>1189901.7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1668632</v>
      </c>
      <c r="D63" s="34">
        <f t="shared" si="2"/>
        <v>0.81217883871338914</v>
      </c>
      <c r="E63" s="184">
        <f>E61+E62</f>
        <v>1355227.5999999999</v>
      </c>
      <c r="F63" s="3"/>
      <c r="G63" s="3"/>
      <c r="H63" s="2" t="s">
        <v>255</v>
      </c>
      <c r="I63" s="207">
        <f>IF(I61&gt;0,FV(I62,D93,0,-I61),I61)</f>
        <v>1.2033189447680699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7638</v>
      </c>
      <c r="F64" s="3"/>
      <c r="G64" s="3"/>
      <c r="H64" s="2" t="s">
        <v>256</v>
      </c>
      <c r="I64" s="207">
        <f>IF(I61&gt;0,PV(C94,D93,0,-I63),I61)</f>
        <v>0.68800151215472805</v>
      </c>
      <c r="K64" s="172"/>
    </row>
    <row r="65" spans="1:11" ht="12" thickTop="1" x14ac:dyDescent="0.35">
      <c r="B65" s="9" t="s">
        <v>131</v>
      </c>
      <c r="C65" s="202">
        <f>C63-E64</f>
        <v>1660994</v>
      </c>
      <c r="D65" s="34">
        <f t="shared" si="2"/>
        <v>0.81131515225220552</v>
      </c>
      <c r="E65" s="184">
        <f>E63-E64</f>
        <v>1347589.5999999999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2900714</v>
      </c>
      <c r="D68" s="34">
        <f t="shared" si="2"/>
        <v>0.24715690688568401</v>
      </c>
      <c r="E68" s="202">
        <f>E49-E63</f>
        <v>716931.5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895584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2005130</v>
      </c>
      <c r="D70" s="34">
        <f t="shared" si="2"/>
        <v>-8.9097714362659772E-2</v>
      </c>
      <c r="E70" s="202">
        <f>E68-E69</f>
        <v>-178652.5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3833194</v>
      </c>
      <c r="D74" s="98"/>
      <c r="E74" s="256">
        <f>Inputs!E91</f>
        <v>3833194</v>
      </c>
      <c r="F74" s="98"/>
      <c r="H74" s="256">
        <f>Inputs!F91</f>
        <v>3833194</v>
      </c>
      <c r="I74" s="98"/>
      <c r="K74" s="75"/>
    </row>
    <row r="75" spans="1:11" ht="15" customHeight="1" x14ac:dyDescent="0.35">
      <c r="B75" s="100" t="s">
        <v>98</v>
      </c>
      <c r="C75" s="97">
        <f>Data!C8</f>
        <v>2530133</v>
      </c>
      <c r="D75" s="101">
        <f>C75/$C$74</f>
        <v>0.66005868735054896</v>
      </c>
      <c r="E75" s="256">
        <f>Inputs!E92</f>
        <v>2530133</v>
      </c>
      <c r="F75" s="211">
        <f>E75/E74</f>
        <v>0.66005868735054896</v>
      </c>
      <c r="H75" s="256">
        <f>Inputs!F92</f>
        <v>2530133</v>
      </c>
      <c r="I75" s="211">
        <f>H75/$H$74</f>
        <v>0.66005868735054896</v>
      </c>
      <c r="K75" s="75"/>
    </row>
    <row r="76" spans="1:11" ht="15" customHeight="1" x14ac:dyDescent="0.35">
      <c r="B76" s="12" t="s">
        <v>88</v>
      </c>
      <c r="C76" s="145">
        <f>C74-C75</f>
        <v>1303061</v>
      </c>
      <c r="D76" s="212"/>
      <c r="E76" s="213">
        <f>E74-E75</f>
        <v>1303061</v>
      </c>
      <c r="F76" s="212"/>
      <c r="H76" s="213">
        <f>H74-H75</f>
        <v>1303061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829721</v>
      </c>
      <c r="D77" s="101">
        <f>C77/$C$74</f>
        <v>0.21645682425674254</v>
      </c>
      <c r="E77" s="256">
        <f>Inputs!E93</f>
        <v>829721</v>
      </c>
      <c r="F77" s="211">
        <f>E77/E74</f>
        <v>0.21645682425674254</v>
      </c>
      <c r="H77" s="256">
        <f>Inputs!F93</f>
        <v>829721</v>
      </c>
      <c r="I77" s="211">
        <f>H77/$H$74</f>
        <v>0.21645682425674254</v>
      </c>
      <c r="K77" s="75"/>
    </row>
    <row r="78" spans="1:11" ht="15" customHeight="1" x14ac:dyDescent="0.35">
      <c r="B78" s="93" t="s">
        <v>151</v>
      </c>
      <c r="C78" s="97">
        <f>MAX(Data!C12,0)</f>
        <v>3760.2523659305994</v>
      </c>
      <c r="D78" s="101">
        <f>C78/$C$74</f>
        <v>9.8097105597332122E-4</v>
      </c>
      <c r="E78" s="214">
        <f>E74*F78</f>
        <v>3760.2523659305989</v>
      </c>
      <c r="F78" s="211">
        <f>I78</f>
        <v>9.8097105597332122E-4</v>
      </c>
      <c r="H78" s="256">
        <f>Inputs!F97</f>
        <v>3760.2523659305989</v>
      </c>
      <c r="I78" s="211">
        <f>H78/$H$74</f>
        <v>9.8097105597332122E-4</v>
      </c>
      <c r="K78" s="75"/>
    </row>
    <row r="79" spans="1:11" ht="15" customHeight="1" x14ac:dyDescent="0.35">
      <c r="B79" s="215" t="s">
        <v>204</v>
      </c>
      <c r="C79" s="216">
        <f>C76-C77-C78</f>
        <v>469579.74763406941</v>
      </c>
      <c r="D79" s="217">
        <f>C79/C74</f>
        <v>0.12250351733673522</v>
      </c>
      <c r="E79" s="218">
        <f>E76-E77-E78</f>
        <v>469579.74763406941</v>
      </c>
      <c r="F79" s="217">
        <f>E79/E74</f>
        <v>0.12250351733673522</v>
      </c>
      <c r="G79" s="219"/>
      <c r="H79" s="218">
        <f>H76-H77-H78</f>
        <v>469579.74763406941</v>
      </c>
      <c r="I79" s="217">
        <f>H79/H74</f>
        <v>0.12250351733673522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270</v>
      </c>
      <c r="D81" s="101">
        <f>C81/$C$74</f>
        <v>7.0437342852983705E-5</v>
      </c>
      <c r="E81" s="214">
        <f>E74*F81</f>
        <v>270</v>
      </c>
      <c r="F81" s="211">
        <f>I81</f>
        <v>7.0437342852983705E-5</v>
      </c>
      <c r="H81" s="256">
        <f>Inputs!F94</f>
        <v>270</v>
      </c>
      <c r="I81" s="211">
        <f>H81/$H$74</f>
        <v>7.0437342852983705E-5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281973</v>
      </c>
      <c r="D82" s="101">
        <f>C82/$C$74</f>
        <v>7.3560847689942116E-2</v>
      </c>
      <c r="E82" s="256">
        <f>Inputs!E95</f>
        <v>38331.94</v>
      </c>
      <c r="F82" s="211">
        <f>E82/E74</f>
        <v>0.01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187336.74763406941</v>
      </c>
      <c r="D83" s="223">
        <f>C83/$C$74</f>
        <v>4.8872232303940111E-2</v>
      </c>
      <c r="E83" s="224">
        <f>E79-E81-E82-E80</f>
        <v>430977.80763406941</v>
      </c>
      <c r="F83" s="223">
        <f>E83/E74</f>
        <v>0.11243307999388223</v>
      </c>
      <c r="H83" s="224">
        <f>H79-H81-H82-H80</f>
        <v>469309.74763406941</v>
      </c>
      <c r="I83" s="223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0.20750000000000002</v>
      </c>
      <c r="E84" s="226"/>
      <c r="F84" s="227">
        <f t="shared" ref="F84" si="3">I84</f>
        <v>0.20750000000000002</v>
      </c>
      <c r="H84" s="226"/>
      <c r="I84" s="257">
        <f>Inputs!C16</f>
        <v>0.20750000000000002</v>
      </c>
      <c r="K84" s="75"/>
    </row>
    <row r="85" spans="1:11" ht="15" customHeight="1" x14ac:dyDescent="0.35">
      <c r="B85" s="228" t="s">
        <v>147</v>
      </c>
      <c r="C85" s="216">
        <f>C83*(1-I84)</f>
        <v>148464.3725</v>
      </c>
      <c r="D85" s="217">
        <f>C85/$C$74</f>
        <v>3.8731244100872537E-2</v>
      </c>
      <c r="E85" s="229">
        <f>E83*(1-F84)</f>
        <v>341549.91255000001</v>
      </c>
      <c r="F85" s="217">
        <f>E85/E74</f>
        <v>8.9103215895151675E-2</v>
      </c>
      <c r="G85" s="219"/>
      <c r="H85" s="229">
        <f>H83*(1-I84)</f>
        <v>371927.97499999998</v>
      </c>
      <c r="I85" s="217">
        <f>H85/$H$74</f>
        <v>9.7028215895151662E-2</v>
      </c>
      <c r="K85" s="75"/>
    </row>
    <row r="86" spans="1:11" ht="15" customHeight="1" x14ac:dyDescent="0.35">
      <c r="B86" s="3" t="s">
        <v>144</v>
      </c>
      <c r="C86" s="230">
        <f>C85*Data!C4/Common_Shares</f>
        <v>0.14224929047039839</v>
      </c>
      <c r="D86" s="98"/>
      <c r="E86" s="231">
        <f>E85*Data!C4/Common_Shares</f>
        <v>0.32725179719776959</v>
      </c>
      <c r="F86" s="98"/>
      <c r="H86" s="231">
        <f>H85*Data!C4/Common_Shares</f>
        <v>0.35635815959712541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2.4739007038330155E-2</v>
      </c>
      <c r="D87" s="98"/>
      <c r="E87" s="233">
        <f>E86*Exchange_Rate/Dashboard!G3</f>
        <v>5.6913356034394715E-2</v>
      </c>
      <c r="F87" s="98"/>
      <c r="H87" s="233">
        <f>H86*Exchange_Rate/Dashboard!G3</f>
        <v>6.1975332103847897E-2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0.15820000000000001</v>
      </c>
      <c r="D88" s="235">
        <f>C88/C86</f>
        <v>1.1121320849956782</v>
      </c>
      <c r="E88" s="255">
        <f>Inputs!E98</f>
        <v>0.15820000000000001</v>
      </c>
      <c r="F88" s="235">
        <f>E88/E86</f>
        <v>0.48341980503897514</v>
      </c>
      <c r="H88" s="255">
        <f>Inputs!F98</f>
        <v>0.15820000000000001</v>
      </c>
      <c r="I88" s="235">
        <f>H88/H86</f>
        <v>0.44393539403966586</v>
      </c>
      <c r="K88" s="75"/>
    </row>
    <row r="89" spans="1:11" ht="15" customHeight="1" x14ac:dyDescent="0.35">
      <c r="B89" s="3" t="s">
        <v>194</v>
      </c>
      <c r="C89" s="232">
        <f>C88*Exchange_Rate/Dashboard!G3</f>
        <v>2.7513043478260869E-2</v>
      </c>
      <c r="D89" s="98"/>
      <c r="E89" s="232">
        <f>E88*Exchange_Rate/Dashboard!G3</f>
        <v>2.7513043478260869E-2</v>
      </c>
      <c r="F89" s="98"/>
      <c r="H89" s="232">
        <f>H88*Exchange_Rate/Dashboard!G3</f>
        <v>2.7513043478260869E-2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6.8059434155944354</v>
      </c>
      <c r="H93" s="3" t="s">
        <v>183</v>
      </c>
      <c r="I93" s="237">
        <f>FV(H87,D93,0,-(H86/(C93-D94)))*Exchange_Rate</f>
        <v>7.5542816484468274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2.9390339528065033</v>
      </c>
      <c r="H94" s="3" t="s">
        <v>184</v>
      </c>
      <c r="I94" s="237">
        <f>FV(H89,D93,0,-(H88/(C93-D94)))*Exchange_Rate</f>
        <v>2.9390339528065033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4507896.637878974</v>
      </c>
      <c r="D97" s="244"/>
      <c r="E97" s="245">
        <f>PV(C94,D93,0,-F93)</f>
        <v>3.8913202371886535</v>
      </c>
      <c r="F97" s="244"/>
      <c r="H97" s="245">
        <f>PV(C94,D93,0,-I93)</f>
        <v>4.3191850506233642</v>
      </c>
      <c r="I97" s="245">
        <f>PV(C93,D93,0,-I93)</f>
        <v>5.5526225280408195</v>
      </c>
      <c r="K97" s="75"/>
    </row>
    <row r="98" spans="2:11" ht="15" customHeight="1" x14ac:dyDescent="0.35">
      <c r="B98" s="18" t="s">
        <v>133</v>
      </c>
      <c r="C98" s="243">
        <f>-E53*Exchange_Rate</f>
        <v>-74665.756530365587</v>
      </c>
      <c r="D98" s="244"/>
      <c r="E98" s="244"/>
      <c r="F98" s="244"/>
      <c r="H98" s="245">
        <f>C98*Data!$C$4/Common_Shares</f>
        <v>-7.1540065202377226E-2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1168937.0999999999</v>
      </c>
      <c r="D99" s="248"/>
      <c r="E99" s="249">
        <f>IF(H99&gt;0,I64,H99)</f>
        <v>0.68800151215472805</v>
      </c>
      <c r="F99" s="248"/>
      <c r="H99" s="249">
        <f>I64</f>
        <v>0.68800151215472805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4.0134569772296054</v>
      </c>
      <c r="E100" s="251">
        <f>MAX(E97+H98+E99,0)</f>
        <v>4.5077816841410039</v>
      </c>
      <c r="F100" s="251">
        <f>(E100+H100)/2</f>
        <v>4.7217140908583595</v>
      </c>
      <c r="H100" s="251">
        <f>MAX(H97+H98+H99,0)</f>
        <v>4.9356464975757151</v>
      </c>
      <c r="I100" s="251">
        <f>MAX(I97+H98+H99,0)</f>
        <v>6.1690839749931703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1.4283418712114542</v>
      </c>
      <c r="E103" s="245">
        <f>PV(C94,D93,0,-F94)</f>
        <v>1.6804022014252402</v>
      </c>
      <c r="F103" s="251">
        <f>(E103+H103)/2</f>
        <v>1.6804022014252402</v>
      </c>
      <c r="H103" s="245">
        <f>PV(C94,D93,0,-I94)</f>
        <v>1.6804022014252402</v>
      </c>
      <c r="I103" s="251">
        <f>PV(C93,D93,0,-I94)</f>
        <v>2.1602776936951424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2.72089942422053</v>
      </c>
      <c r="E106" s="245">
        <f>(E100+E103)/2</f>
        <v>3.0940919427831219</v>
      </c>
      <c r="F106" s="251">
        <f>(F100+F103)/2</f>
        <v>3.2010581461417997</v>
      </c>
      <c r="H106" s="245">
        <f>(H100+H103)/2</f>
        <v>3.3080243495004775</v>
      </c>
      <c r="I106" s="245">
        <f>(I100+I103)/2</f>
        <v>4.1646808343441561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