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8D035DB-8F9E-45D4-B17A-0B1FB64A2144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1" i="4"/>
  <c r="F94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C44" i="4"/>
  <c r="F37" i="4"/>
  <c r="E37" i="4"/>
  <c r="D37" i="4"/>
  <c r="C37" i="4"/>
  <c r="F95" i="4" l="1"/>
  <c r="F93" i="4"/>
  <c r="F96" i="4"/>
  <c r="E92" i="4"/>
  <c r="F97" i="4"/>
  <c r="F92" i="4"/>
  <c r="D17" i="2"/>
  <c r="E17" i="2"/>
  <c r="F17" i="2"/>
  <c r="G17" i="2"/>
  <c r="H17" i="2"/>
  <c r="I17" i="2"/>
  <c r="J17" i="2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47" i="2"/>
  <c r="J47" i="2"/>
  <c r="F47" i="2"/>
  <c r="C47" i="2"/>
  <c r="M24" i="2"/>
  <c r="M61" i="2" s="1"/>
  <c r="M47" i="2"/>
  <c r="L46" i="2"/>
  <c r="L14" i="2"/>
  <c r="I46" i="2"/>
  <c r="K46" i="2"/>
  <c r="K14" i="2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J60" i="2" l="1"/>
  <c r="J16" i="2"/>
  <c r="J24" i="2"/>
  <c r="J61" i="2" s="1"/>
  <c r="I60" i="2"/>
  <c r="I16" i="2"/>
  <c r="I24" i="2"/>
  <c r="I61" i="2" s="1"/>
  <c r="H60" i="2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<sst xmlns="http://schemas.openxmlformats.org/spreadsheetml/2006/main" count="405" uniqueCount="290">
  <si>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</si>
  <si>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</si>
  <si>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</si>
  <si>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</si>
  <si>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</si>
  <si>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</si>
  <si>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</si>
  <si>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</si>
  <si>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</si>
  <si>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</si>
  <si>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</si>
  <si>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</si>
  <si>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</si>
  <si>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</si>
  <si>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</si>
  <si>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</si>
  <si>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</si>
  <si>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</si>
  <si>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</si>
  <si>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</si>
  <si>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</si>
  <si>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</si>
  <si>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</si>
  <si>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</si>
  <si>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</si>
  <si>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</si>
  <si>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</si>
  <si>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</si>
  <si>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</si>
  <si>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</si>
  <si>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</si>
  <si>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</si>
  <si>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</si>
  <si>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</si>
  <si>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</si>
  <si>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</si>
  <si>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</si>
  <si>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</si>
  <si>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</si>
  <si>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</si>
  <si>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</si>
  <si>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</si>
  <si>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</si>
  <si>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</si>
  <si>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</si>
  <si>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</si>
  <si>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</si>
  <si>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</si>
  <si>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</si>
  <si>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</si>
  <si>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</si>
  <si>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</si>
  <si>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</si>
  <si>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</si>
  <si>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</si>
  <si>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</si>
  <si>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</si>
  <si>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</si>
  <si>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</si>
  <si>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</si>
  <si>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</si>
  <si>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</si>
  <si>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</si>
  <si>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</si>
  <si>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</si>
  <si>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</si>
  <si>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</si>
  <si>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</si>
  <si>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</si>
  <si>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</si>
  <si>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</si>
  <si>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</si>
  <si>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</si>
  <si>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</si>
  <si>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</si>
  <si>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</si>
  <si>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</si>
  <si>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</si>
  <si>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</si>
  <si>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</si>
  <si>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</si>
  <si>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</si>
  <si>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</si>
  <si>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</si>
  <si>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</si>
  <si>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</si>
  <si>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</si>
  <si>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</si>
  <si>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</si>
  <si>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</si>
  <si>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</si>
  <si>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</si>
  <si>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</si>
  <si>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</si>
  <si>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</si>
  <si>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</si>
  <si>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</si>
  <si>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</si>
  <si>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</si>
  <si>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</si>
  <si>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</si>
  <si>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</si>
  <si>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</si>
  <si>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</si>
  <si>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</si>
  <si>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</si>
  <si>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</si>
  <si>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</si>
  <si>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</si>
  <si>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</si>
  <si>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</si>
  <si>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</si>
  <si>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</si>
  <si>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</si>
  <si>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</si>
  <si>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</si>
  <si>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</si>
  <si>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</si>
  <si>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</si>
  <si>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</si>
  <si>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</si>
  <si>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</si>
  <si>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</si>
  <si>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</si>
  <si>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</si>
  <si>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</si>
  <si>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</si>
  <si>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</si>
  <si>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</si>
  <si>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</si>
  <si>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</si>
  <si>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</si>
  <si>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</si>
  <si>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</si>
  <si>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</si>
  <si>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</si>
  <si>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</si>
  <si>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</si>
  <si>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</si>
  <si>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</si>
  <si>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</si>
  <si>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</si>
  <si>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</si>
  <si>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</si>
  <si>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</si>
  <si>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</si>
  <si>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</si>
  <si>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</si>
  <si>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</si>
  <si>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</si>
  <si>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</si>
  <si>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</si>
  <si>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</si>
  <si>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</si>
  <si>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</si>
  <si>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</si>
  <si>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</si>
  <si>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</si>
  <si>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</si>
  <si>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</si>
  <si>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</si>
  <si>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</si>
  <si>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</si>
  <si>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</si>
  <si>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</si>
  <si>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</si>
  <si>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</si>
  <si>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</si>
  <si>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</si>
  <si>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</si>
  <si>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</si>
  <si>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</si>
  <si>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</si>
  <si>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</si>
  <si>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</si>
  <si>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</si>
  <si>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</si>
  <si>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</si>
  <si>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</si>
  <si>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</si>
  <si>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</si>
  <si>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</si>
  <si>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</si>
  <si>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</si>
  <si>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</si>
  <si>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</si>
  <si>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</si>
  <si>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</si>
  <si>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</si>
  <si>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</si>
  <si>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</si>
  <si>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</si>
  <si>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</si>
  <si>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</si>
  <si>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</si>
  <si>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</si>
  <si>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</si>
  <si>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</si>
  <si>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</si>
  <si>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</si>
  <si>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</si>
  <si>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</si>
  <si>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</si>
  <si>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</si>
  <si>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</si>
  <si>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</si>
  <si>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</si>
  <si>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</si>
  <si>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</si>
  <si>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</si>
  <si>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</si>
  <si>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</si>
  <si>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</si>
  <si>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</si>
  <si>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</si>
  <si>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</si>
  <si>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</si>
  <si>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</si>
  <si>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</si>
  <si>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</si>
  <si>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</si>
  <si>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</si>
  <si>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</si>
  <si>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</si>
  <si>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</si>
  <si>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</si>
  <si>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</si>
  <si>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</si>
  <si>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</si>
  <si>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</si>
  <si>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</si>
  <si>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</si>
  <si>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</si>
  <si>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</si>
  <si>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</si>
  <si>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</si>
  <si>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</si>
  <si>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</si>
  <si>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</si>
  <si>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</si>
  <si>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</si>
  <si>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</si>
  <si>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</si>
  <si>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</si>
  <si>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</si>
  <si>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</si>
  <si>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</si>
  <si>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</si>
  <si>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</si>
  <si>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</si>
  <si>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</si>
  <si>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</si>
  <si>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</si>
  <si>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</si>
  <si>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</si>
  <si>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</si>
  <si>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</si>
  <si>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</si>
  <si>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</si>
  <si>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</si>
  <si>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</si>
  <si>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</si>
  <si>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</si>
  <si>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</si>
  <si>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</si>
  <si>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</si>
  <si>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</si>
  <si>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</si>
  <si>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</si>
  <si>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</si>
  <si>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</si>
  <si>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</si>
  <si>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</si>
  <si>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</si>
  <si>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</si>
  <si>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</si>
  <si>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</si>
  <si>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</si>
  <si>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</si>
  <si>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</si>
  <si>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</si>
  <si>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</si>
  <si>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</si>
  <si>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1929.HK</t>
  </si>
  <si>
    <t>周大福</t>
  </si>
  <si>
    <t xml:space="preserve">Superior Cycl. 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</si>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</sst>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283</v>
      </c>
      <c r="D4" s="66"/>
    </row>
    <row r="5" spans="1:5" x14ac:dyDescent="0.35">
      <c r="B5" s="46" t="s">
        <v>169</v>
      </c>
      <c r="C5" s="67" t="s">
        <v>284</v>
      </c>
    </row>
    <row r="6" spans="1:5" x14ac:dyDescent="0.35">
      <c r="B6" s="46" t="s">
        <v>269</v>
      </c>
      <c r="C6" s="68">
        <v>45593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285</v>
      </c>
    </row>
    <row r="9" spans="1:5" x14ac:dyDescent="0.35">
      <c r="B9" s="39" t="s">
        <v>190</v>
      </c>
      <c r="C9" s="119" t="s">
        <v>275</v>
      </c>
    </row>
    <row r="10" spans="1:5" x14ac:dyDescent="0.35">
      <c r="B10" s="39" t="s">
        <v>191</v>
      </c>
      <c r="C10" s="70">
        <v>9987736800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193</v>
      </c>
      <c r="C14" s="72">
        <v>45565</v>
      </c>
    </row>
    <row r="15" spans="1:5" x14ac:dyDescent="0.35">
      <c r="B15" s="71" t="s">
        <v>222</v>
      </c>
      <c r="C15" s="117" t="s">
        <v>165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286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287</v>
      </c>
      <c r="D19" s="75"/>
    </row>
    <row r="20" spans="2:13" x14ac:dyDescent="0.35">
      <c r="B20" s="57" t="s">
        <v>200</v>
      </c>
      <c r="C20" s="121" t="s">
        <v>287</v>
      </c>
      <c r="D20" s="75"/>
    </row>
    <row r="21" spans="2:13" x14ac:dyDescent="0.35">
      <c r="B21" s="2" t="s">
        <v>203</v>
      </c>
      <c r="C21" s="121" t="s">
        <v>286</v>
      </c>
      <c r="D21" s="75"/>
    </row>
    <row r="22" spans="2:13" ht="69.75" x14ac:dyDescent="0.35">
      <c r="B22" s="59" t="s">
        <v>202</v>
      </c>
      <c r="C22" s="122" t="s">
        <v>288</v>
      </c>
      <c r="D22" s="75"/>
    </row>
    <row r="24" spans="2:13" x14ac:dyDescent="0.35">
      <c r="B24" s="76" t="s">
        <v>279</v>
      </c>
      <c r="C24" s="286">
        <f>C12</f>
        <v>45382</v>
      </c>
      <c r="D24" s="287">
        <f>EOMONTH(EDATE(C24,-12),0)</f>
        <v>45016</v>
      </c>
      <c r="E24" s="287">
        <f t="shared" ref="E24:M24" si="0">EOMONTH(EDATE(D24,-12),0)</f>
        <v>44651</v>
      </c>
      <c r="F24" s="287">
        <f t="shared" si="0"/>
        <v>44286</v>
      </c>
      <c r="G24" s="287">
        <f t="shared" si="0"/>
        <v>43921</v>
      </c>
      <c r="H24" s="287">
        <f t="shared" si="0"/>
        <v>43555</v>
      </c>
      <c r="I24" s="287">
        <f t="shared" si="0"/>
        <v>43190</v>
      </c>
      <c r="J24" s="287">
        <f t="shared" si="0"/>
        <v>42825</v>
      </c>
      <c r="K24" s="287">
        <f t="shared" si="0"/>
        <v>42460</v>
      </c>
      <c r="L24" s="287">
        <f t="shared" si="0"/>
        <v>42094</v>
      </c>
      <c r="M24" s="287">
        <f t="shared" si="0"/>
        <v>41729</v>
      </c>
    </row>
    <row r="25" spans="2:13" x14ac:dyDescent="0.35">
      <c r="B25" s="263" t="s">
        <v>12</v>
      </c>
      <c r="C25" s="77">
        <v>108713</v>
      </c>
      <c r="D25" s="77">
        <v>94684.4</v>
      </c>
      <c r="E25" s="77">
        <v>98937.7</v>
      </c>
      <c r="F25" s="77">
        <v>70163.8</v>
      </c>
      <c r="G25" s="77">
        <v>56750.8</v>
      </c>
      <c r="H25" s="77">
        <v>66660.899999999994</v>
      </c>
      <c r="I25" s="77">
        <v>59156.4</v>
      </c>
      <c r="J25" s="77">
        <v>51245.5</v>
      </c>
      <c r="K25" s="77"/>
      <c r="L25" s="77"/>
      <c r="M25" s="77"/>
    </row>
    <row r="26" spans="2:13" x14ac:dyDescent="0.35">
      <c r="B26" s="264" t="s">
        <v>98</v>
      </c>
      <c r="C26" s="78">
        <v>86428</v>
      </c>
      <c r="D26" s="78">
        <v>73512.899999999994</v>
      </c>
      <c r="E26" s="78">
        <v>76598</v>
      </c>
      <c r="F26" s="78">
        <v>50089.1</v>
      </c>
      <c r="G26" s="78">
        <v>40654.6</v>
      </c>
      <c r="H26" s="78">
        <v>48059.1</v>
      </c>
      <c r="I26" s="78">
        <v>42943</v>
      </c>
      <c r="J26" s="78">
        <v>36282.800000000003</v>
      </c>
      <c r="K26" s="78"/>
      <c r="L26" s="78"/>
      <c r="M26" s="78"/>
    </row>
    <row r="27" spans="2:13" x14ac:dyDescent="0.35">
      <c r="B27" s="264" t="s">
        <v>96</v>
      </c>
      <c r="C27" s="78">
        <v>13300.2</v>
      </c>
      <c r="D27" s="78">
        <v>13695.699999999999</v>
      </c>
      <c r="E27" s="78">
        <v>14003.8</v>
      </c>
      <c r="F27" s="78">
        <v>11888.399999999998</v>
      </c>
      <c r="G27" s="78">
        <v>11596.6</v>
      </c>
      <c r="H27" s="78">
        <v>12064.3</v>
      </c>
      <c r="I27" s="78">
        <v>10960.1</v>
      </c>
      <c r="J27" s="78">
        <v>10347.099999999999</v>
      </c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704.6</v>
      </c>
      <c r="D29" s="78">
        <v>585.4</v>
      </c>
      <c r="E29" s="78">
        <v>337.7</v>
      </c>
      <c r="F29" s="78">
        <v>376</v>
      </c>
      <c r="G29" s="78">
        <v>559.6</v>
      </c>
      <c r="H29" s="78">
        <v>370.3</v>
      </c>
      <c r="I29" s="78">
        <v>243.7</v>
      </c>
      <c r="J29" s="78">
        <v>236.6</v>
      </c>
      <c r="K29" s="78"/>
      <c r="L29" s="78"/>
      <c r="M29" s="78"/>
    </row>
    <row r="30" spans="2:13" x14ac:dyDescent="0.35">
      <c r="B30" s="303" t="s">
        <v>277</v>
      </c>
      <c r="C30" s="302"/>
      <c r="D30" s="302">
        <v>105.1</v>
      </c>
      <c r="E30" s="302">
        <v>167.6</v>
      </c>
      <c r="F30" s="302">
        <v>149.69999999999999</v>
      </c>
      <c r="G30" s="302">
        <v>82.1</v>
      </c>
      <c r="H30" s="302">
        <v>107.2</v>
      </c>
      <c r="I30" s="302">
        <v>108.4</v>
      </c>
      <c r="J30" s="302">
        <v>95.8</v>
      </c>
      <c r="K30" s="302"/>
      <c r="L30" s="302"/>
      <c r="M30" s="302"/>
    </row>
    <row r="31" spans="2:13" x14ac:dyDescent="0.35">
      <c r="B31" s="266" t="s">
        <v>103</v>
      </c>
      <c r="C31" s="78">
        <v>107.9</v>
      </c>
      <c r="D31" s="78">
        <v>105.1</v>
      </c>
      <c r="E31" s="78">
        <v>167.6</v>
      </c>
      <c r="F31" s="78">
        <v>149.69999999999999</v>
      </c>
      <c r="G31" s="78">
        <v>82.1</v>
      </c>
      <c r="H31" s="78">
        <v>107.2</v>
      </c>
      <c r="I31" s="78">
        <v>108.4</v>
      </c>
      <c r="J31" s="78">
        <v>95.8</v>
      </c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f>(58068800+2412200)/1000</f>
        <v>60481</v>
      </c>
      <c r="D37" s="78">
        <f>(51021500+2959200)/1000</f>
        <v>53980.7</v>
      </c>
      <c r="E37" s="78">
        <f>(49629400+3553200)/1000</f>
        <v>53182.6</v>
      </c>
      <c r="F37" s="78">
        <f>(29142200+3598400)/1000</f>
        <v>32740.6</v>
      </c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26381.4</v>
      </c>
      <c r="D41" s="302">
        <v>33359.800000000003</v>
      </c>
      <c r="E41" s="302">
        <v>34554.699999999997</v>
      </c>
      <c r="F41" s="302">
        <v>31567.599999999999</v>
      </c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1036.4000000000001</v>
      </c>
      <c r="D42" s="78">
        <v>962.4</v>
      </c>
      <c r="E42" s="78">
        <v>935.4</v>
      </c>
      <c r="F42" s="78">
        <v>800.5</v>
      </c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0.3+0.25</f>
        <v>0.55000000000000004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8.3081570996978854E-2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278</v>
      </c>
      <c r="C82" s="79"/>
    </row>
    <row r="83" spans="2:8" hidden="1" x14ac:dyDescent="0.35">
      <c r="B83" s="300" t="s">
        <v>247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289</v>
      </c>
      <c r="D87" s="108">
        <v>0.02</v>
      </c>
    </row>
    <row r="89" spans="2:8" x14ac:dyDescent="0.35">
      <c r="B89" s="94" t="s">
        <v>116</v>
      </c>
      <c r="C89" s="310">
        <f>C24</f>
        <v>45382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108713</v>
      </c>
      <c r="D91" s="98"/>
      <c r="E91" s="99">
        <f>C91</f>
        <v>108713</v>
      </c>
      <c r="F91" s="99">
        <f>C91</f>
        <v>108713</v>
      </c>
    </row>
    <row r="92" spans="2:8" x14ac:dyDescent="0.35">
      <c r="B92" s="100" t="s">
        <v>98</v>
      </c>
      <c r="C92" s="97">
        <f>C26</f>
        <v>86428</v>
      </c>
      <c r="D92" s="101">
        <f>C92/C91</f>
        <v>0.79501071628968012</v>
      </c>
      <c r="E92" s="102">
        <f>E91*D92</f>
        <v>86428</v>
      </c>
      <c r="F92" s="102">
        <f>F91*D92</f>
        <v>86428</v>
      </c>
    </row>
    <row r="93" spans="2:8" x14ac:dyDescent="0.35">
      <c r="B93" s="100" t="s">
        <v>217</v>
      </c>
      <c r="C93" s="97">
        <f>C27+C28</f>
        <v>13300.2</v>
      </c>
      <c r="D93" s="101">
        <f>C93/C91</f>
        <v>0.12234231416665901</v>
      </c>
      <c r="E93" s="102">
        <f>E91*D93</f>
        <v>13300.2</v>
      </c>
      <c r="F93" s="102">
        <f>F91*D93</f>
        <v>13300.2</v>
      </c>
    </row>
    <row r="94" spans="2:8" x14ac:dyDescent="0.35">
      <c r="B94" s="100" t="s">
        <v>223</v>
      </c>
      <c r="C94" s="97">
        <f>C29</f>
        <v>704.6</v>
      </c>
      <c r="D94" s="101">
        <f>C94/C91</f>
        <v>6.4812855868203439E-3</v>
      </c>
      <c r="E94" s="103"/>
      <c r="F94" s="102">
        <f>F91*D94</f>
        <v>704.6</v>
      </c>
    </row>
    <row r="95" spans="2:8" x14ac:dyDescent="0.35">
      <c r="B95" s="18" t="s">
        <v>216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143.86666666666667</v>
      </c>
      <c r="D97" s="101">
        <f>C97/C91</f>
        <v>1.3233621247382252E-3</v>
      </c>
      <c r="E97" s="103"/>
      <c r="F97" s="102">
        <f>F91*D97</f>
        <v>143.86666666666667</v>
      </c>
    </row>
    <row r="98" spans="2:6" x14ac:dyDescent="0.35">
      <c r="B98" s="8" t="s">
        <v>181</v>
      </c>
      <c r="C98" s="104">
        <f>C44</f>
        <v>0.55000000000000004</v>
      </c>
      <c r="D98" s="105"/>
      <c r="E98" s="106">
        <f>F98*0.8</f>
        <v>0.44000000000000006</v>
      </c>
      <c r="F98" s="106">
        <f>C98</f>
        <v>0.55000000000000004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1929.HK : 周大福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168</v>
      </c>
      <c r="C3" s="316" t="str">
        <f>Inputs!C4</f>
        <v>1929.HK</v>
      </c>
      <c r="D3" s="317"/>
      <c r="E3" s="3"/>
      <c r="F3" s="9" t="s">
        <v>1</v>
      </c>
      <c r="G3" s="10">
        <v>6.62</v>
      </c>
      <c r="H3" s="11" t="s">
        <v>257</v>
      </c>
    </row>
    <row r="4" spans="1:10" ht="15.75" customHeight="1" x14ac:dyDescent="0.35">
      <c r="B4" s="12" t="s">
        <v>169</v>
      </c>
      <c r="C4" s="318" t="str">
        <f>Inputs!C5</f>
        <v>周大福</v>
      </c>
      <c r="D4" s="319"/>
      <c r="E4" s="3"/>
      <c r="F4" s="9" t="s">
        <v>3</v>
      </c>
      <c r="G4" s="322">
        <f>Inputs!C10</f>
        <v>9987736800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45593</v>
      </c>
      <c r="D5" s="321"/>
      <c r="E5" s="16"/>
      <c r="F5" s="12" t="s">
        <v>92</v>
      </c>
      <c r="G5" s="314">
        <f>G3*G4/1000000</f>
        <v>66118.817616</v>
      </c>
      <c r="H5" s="314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45808</v>
      </c>
      <c r="E6" s="20">
        <f>IF(Fin_Analysis!E9="FY",Fin_Analysis!D9,Data!C3)</f>
        <v>45382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166</v>
      </c>
      <c r="C7" s="123" t="str">
        <f>Inputs!C8</f>
        <v xml:space="preserve">Superior Cycl. </v>
      </c>
      <c r="D7" s="123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0.34882356809364112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8.1323607418922597E-2</v>
      </c>
      <c r="F21" s="3"/>
      <c r="G21" s="34"/>
    </row>
    <row r="22" spans="1:8" ht="15.75" customHeight="1" x14ac:dyDescent="0.35">
      <c r="B22" s="35" t="s">
        <v>245</v>
      </c>
      <c r="C22" s="36">
        <f>Data!C50</f>
        <v>1.2515541822468641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3.4272006312882226</v>
      </c>
      <c r="F23" s="39" t="s">
        <v>164</v>
      </c>
      <c r="G23" s="40">
        <f>G3/(Data!C36*Data!C4/Common_Shares*Exchange_Rate)</f>
        <v>2.5062664459050694</v>
      </c>
    </row>
    <row r="24" spans="1:8" ht="15.75" customHeight="1" x14ac:dyDescent="0.35">
      <c r="B24" s="41" t="s">
        <v>240</v>
      </c>
      <c r="C24" s="42">
        <f>Fin_Analysis!I81</f>
        <v>6.4812855868203439E-3</v>
      </c>
      <c r="F24" s="39" t="s">
        <v>225</v>
      </c>
      <c r="G24" s="43">
        <f>G3/(Fin_Analysis!H86*G7)</f>
        <v>10.835153855708963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0.90020160432627339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8.3081570996978854E-2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2" t="s">
        <v>224</v>
      </c>
      <c r="H28" s="312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5.8584467303881089</v>
      </c>
      <c r="D29" s="54">
        <f>G29*(1+G20)</f>
        <v>11.849735275379064</v>
      </c>
      <c r="E29" s="3"/>
      <c r="F29" s="55">
        <f>IF(Fin_Analysis!C108="Profit",Fin_Analysis!F100,IF(Fin_Analysis!C108="Dividend",Fin_Analysis!F103,Fin_Analysis!F106))</f>
        <v>6.8922902710448346</v>
      </c>
      <c r="G29" s="313">
        <f>IF(Fin_Analysis!C108="Profit",Fin_Analysis!I100,IF(Fin_Analysis!C108="Dividend",Fin_Analysis!I103,Fin_Analysis!I106))</f>
        <v>10.304117630764404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Strongly agree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45382</v>
      </c>
      <c r="E3" s="138" t="s">
        <v>174</v>
      </c>
      <c r="F3" s="139">
        <f>H14</f>
        <v>6394.566666666663</v>
      </c>
      <c r="G3" s="139">
        <f>C14</f>
        <v>8840.9333333333325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1000000</v>
      </c>
      <c r="D4" s="2" t="str">
        <f>Dashboard!G6</f>
        <v>HKD</v>
      </c>
      <c r="E4" s="138" t="s">
        <v>175</v>
      </c>
      <c r="F4" s="141">
        <f>(G3/F3)^(1/H3)-1</f>
        <v>5.5474712364703915E-2</v>
      </c>
      <c r="J4" s="3"/>
    </row>
    <row r="5" spans="1:14" ht="15.75" customHeight="1" x14ac:dyDescent="0.35">
      <c r="A5" s="129"/>
      <c r="B5" s="76" t="s">
        <v>122</v>
      </c>
      <c r="C5" s="286">
        <f>C3</f>
        <v>45382</v>
      </c>
      <c r="D5" s="287">
        <f>EOMONTH(EDATE(C5,-12),0)</f>
        <v>45016</v>
      </c>
      <c r="E5" s="287">
        <f t="shared" ref="E5:M5" si="0">EOMONTH(EDATE(D5,-12),0)</f>
        <v>44651</v>
      </c>
      <c r="F5" s="287">
        <f t="shared" si="0"/>
        <v>44286</v>
      </c>
      <c r="G5" s="287">
        <f t="shared" si="0"/>
        <v>43921</v>
      </c>
      <c r="H5" s="287">
        <f t="shared" si="0"/>
        <v>43555</v>
      </c>
      <c r="I5" s="287">
        <f t="shared" si="0"/>
        <v>43190</v>
      </c>
      <c r="J5" s="287">
        <f t="shared" si="0"/>
        <v>42825</v>
      </c>
      <c r="K5" s="287">
        <f t="shared" si="0"/>
        <v>42460</v>
      </c>
      <c r="L5" s="287">
        <f t="shared" si="0"/>
        <v>42094</v>
      </c>
      <c r="M5" s="287">
        <f t="shared" si="0"/>
        <v>41729</v>
      </c>
    </row>
    <row r="6" spans="1:14" ht="15.75" customHeight="1" x14ac:dyDescent="0.35">
      <c r="A6" s="135"/>
      <c r="B6" s="263" t="s">
        <v>12</v>
      </c>
      <c r="C6" s="142">
        <f>IF(Inputs!C25=""," ",Inputs!C25)</f>
        <v>108713</v>
      </c>
      <c r="D6" s="142">
        <f>IF(Inputs!D25="","",Inputs!D25)</f>
        <v>94684.4</v>
      </c>
      <c r="E6" s="142">
        <f>IF(Inputs!E25="","",Inputs!E25)</f>
        <v>98937.7</v>
      </c>
      <c r="F6" s="142">
        <f>IF(Inputs!F25="","",Inputs!F25)</f>
        <v>70163.8</v>
      </c>
      <c r="G6" s="142">
        <f>IF(Inputs!G25="","",Inputs!G25)</f>
        <v>56750.8</v>
      </c>
      <c r="H6" s="142">
        <f>IF(Inputs!H25="","",Inputs!H25)</f>
        <v>66660.899999999994</v>
      </c>
      <c r="I6" s="142">
        <f>IF(Inputs!I25="","",Inputs!I25)</f>
        <v>59156.4</v>
      </c>
      <c r="J6" s="142">
        <f>IF(Inputs!J25="","",Inputs!J25)</f>
        <v>51245.5</v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0.14816168238907368</v>
      </c>
      <c r="D7" s="143">
        <f t="shared" si="1"/>
        <v>-4.2989679363882538E-2</v>
      </c>
      <c r="E7" s="143">
        <f t="shared" si="1"/>
        <v>0.41009608943643294</v>
      </c>
      <c r="F7" s="143">
        <f t="shared" si="1"/>
        <v>0.23634909111413416</v>
      </c>
      <c r="G7" s="143">
        <f t="shared" si="1"/>
        <v>-0.14866435946709378</v>
      </c>
      <c r="H7" s="143">
        <f t="shared" si="1"/>
        <v>0.12685863237113804</v>
      </c>
      <c r="I7" s="143">
        <f t="shared" si="1"/>
        <v>0.15437257905572199</v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86428</v>
      </c>
      <c r="D8" s="144">
        <f>IF(Inputs!D26="","",Inputs!D26)</f>
        <v>73512.899999999994</v>
      </c>
      <c r="E8" s="144">
        <f>IF(Inputs!E26="","",Inputs!E26)</f>
        <v>76598</v>
      </c>
      <c r="F8" s="144">
        <f>IF(Inputs!F26="","",Inputs!F26)</f>
        <v>50089.1</v>
      </c>
      <c r="G8" s="144">
        <f>IF(Inputs!G26="","",Inputs!G26)</f>
        <v>40654.6</v>
      </c>
      <c r="H8" s="144">
        <f>IF(Inputs!H26="","",Inputs!H26)</f>
        <v>48059.1</v>
      </c>
      <c r="I8" s="144">
        <f>IF(Inputs!I26="","",Inputs!I26)</f>
        <v>42943</v>
      </c>
      <c r="J8" s="144">
        <f>IF(Inputs!J26="","",Inputs!J26)</f>
        <v>36282.800000000003</v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22285</v>
      </c>
      <c r="D9" s="273">
        <f t="shared" si="2"/>
        <v>21171.5</v>
      </c>
      <c r="E9" s="273">
        <f t="shared" si="2"/>
        <v>22339.699999999997</v>
      </c>
      <c r="F9" s="273">
        <f t="shared" si="2"/>
        <v>20074.700000000004</v>
      </c>
      <c r="G9" s="273">
        <f t="shared" si="2"/>
        <v>16096.200000000004</v>
      </c>
      <c r="H9" s="273">
        <f t="shared" si="2"/>
        <v>18601.799999999996</v>
      </c>
      <c r="I9" s="273">
        <f t="shared" si="2"/>
        <v>16213.400000000001</v>
      </c>
      <c r="J9" s="273">
        <f t="shared" si="2"/>
        <v>14962.699999999997</v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13300.2</v>
      </c>
      <c r="D10" s="144">
        <f>IF(Inputs!D27="","",Inputs!D27)</f>
        <v>13695.699999999999</v>
      </c>
      <c r="E10" s="144">
        <f>IF(Inputs!E27="","",Inputs!E27)</f>
        <v>14003.8</v>
      </c>
      <c r="F10" s="144">
        <f>IF(Inputs!F27="","",Inputs!F27)</f>
        <v>11888.399999999998</v>
      </c>
      <c r="G10" s="144">
        <f>IF(Inputs!G27="","",Inputs!G27)</f>
        <v>11596.6</v>
      </c>
      <c r="H10" s="144">
        <f>IF(Inputs!H27="","",Inputs!H27)</f>
        <v>12064.3</v>
      </c>
      <c r="I10" s="144">
        <f>IF(Inputs!I27="","",Inputs!I27)</f>
        <v>10960.1</v>
      </c>
      <c r="J10" s="144">
        <f>IF(Inputs!J27="","",Inputs!J27)</f>
        <v>10347.099999999999</v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143.86666666666667</v>
      </c>
      <c r="D12" s="144">
        <f>IF(Inputs!D31="","",MAX(Inputs!D31,0)/(1-Fin_Analysis!$I$84))</f>
        <v>140.13333333333333</v>
      </c>
      <c r="E12" s="144">
        <f>IF(Inputs!E31="","",MAX(Inputs!E31,0)/(1-Fin_Analysis!$I$84))</f>
        <v>223.46666666666667</v>
      </c>
      <c r="F12" s="144">
        <f>IF(Inputs!F31="","",MAX(Inputs!F31,0)/(1-Fin_Analysis!$I$84))</f>
        <v>199.6</v>
      </c>
      <c r="G12" s="144">
        <f>IF(Inputs!G31="","",MAX(Inputs!G31,0)/(1-Fin_Analysis!$I$84))</f>
        <v>109.46666666666665</v>
      </c>
      <c r="H12" s="144">
        <f>IF(Inputs!H31="","",MAX(Inputs!H31,0)/(1-Fin_Analysis!$I$84))</f>
        <v>142.93333333333334</v>
      </c>
      <c r="I12" s="144">
        <f>IF(Inputs!I31="","",MAX(Inputs!I31,0)/(1-Fin_Analysis!$I$84))</f>
        <v>144.53333333333333</v>
      </c>
      <c r="J12" s="144">
        <f>IF(Inputs!J31="","",MAX(Inputs!J31,0)/(1-Fin_Analysis!$I$84))</f>
        <v>127.73333333333333</v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8.1323607418922597E-2</v>
      </c>
      <c r="D13" s="292">
        <f t="shared" si="3"/>
        <v>7.7474923711473784E-2</v>
      </c>
      <c r="E13" s="292">
        <f t="shared" si="3"/>
        <v>8.1995370150441463E-2</v>
      </c>
      <c r="F13" s="292">
        <f t="shared" si="3"/>
        <v>0.11382935359829437</v>
      </c>
      <c r="G13" s="292">
        <f t="shared" si="3"/>
        <v>7.7358087169402678E-2</v>
      </c>
      <c r="H13" s="292">
        <f t="shared" si="3"/>
        <v>9.5926797667998234E-2</v>
      </c>
      <c r="I13" s="292">
        <f t="shared" si="3"/>
        <v>8.6360337455738803E-2</v>
      </c>
      <c r="J13" s="292">
        <f t="shared" si="3"/>
        <v>8.7575819665466528E-2</v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8840.9333333333325</v>
      </c>
      <c r="D14" s="294">
        <f t="shared" ref="D14:M14" si="4">IF(D6="","",D9-D10-MAX(D11,0)-MAX(D12,0))</f>
        <v>7335.6666666666679</v>
      </c>
      <c r="E14" s="294">
        <f t="shared" si="4"/>
        <v>8112.4333333333316</v>
      </c>
      <c r="F14" s="294">
        <f t="shared" si="4"/>
        <v>7986.7000000000062</v>
      </c>
      <c r="G14" s="294">
        <f t="shared" si="4"/>
        <v>4390.1333333333378</v>
      </c>
      <c r="H14" s="294">
        <f t="shared" si="4"/>
        <v>6394.566666666663</v>
      </c>
      <c r="I14" s="294">
        <f t="shared" si="4"/>
        <v>5108.7666666666673</v>
      </c>
      <c r="J14" s="294">
        <f t="shared" si="4"/>
        <v>4487.866666666665</v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0.20519834598082398</v>
      </c>
      <c r="D15" s="296">
        <f t="shared" ref="D15:M15" si="5">IF(E14="","",IF(ABS(D14+E14)=ABS(D14)+ABS(E14),IF(D14&lt;0,-1,1)*(D14-E14)/E14,"Turn"))</f>
        <v>-9.5750144839402543E-2</v>
      </c>
      <c r="E15" s="296">
        <f t="shared" si="5"/>
        <v>1.5742839136730476E-2</v>
      </c>
      <c r="F15" s="296">
        <f t="shared" si="5"/>
        <v>0.8192385956387046</v>
      </c>
      <c r="G15" s="296">
        <f t="shared" si="5"/>
        <v>-0.31345882181226664</v>
      </c>
      <c r="H15" s="296">
        <f t="shared" si="5"/>
        <v>0.25168501203812965</v>
      </c>
      <c r="I15" s="296">
        <f t="shared" si="5"/>
        <v>0.1383508125612769</v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-7230.5666666666675</v>
      </c>
      <c r="E16" s="147">
        <f t="shared" si="6"/>
        <v>-7944.8333333333312</v>
      </c>
      <c r="F16" s="147">
        <f t="shared" si="6"/>
        <v>-7837.0000000000064</v>
      </c>
      <c r="G16" s="147">
        <f t="shared" si="6"/>
        <v>-4308.0333333333374</v>
      </c>
      <c r="H16" s="147">
        <f t="shared" si="6"/>
        <v>-6287.3666666666631</v>
      </c>
      <c r="I16" s="147">
        <f t="shared" si="6"/>
        <v>-5000.3666666666677</v>
      </c>
      <c r="J16" s="147">
        <f t="shared" si="6"/>
        <v>-4392.0666666666648</v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105.1</v>
      </c>
      <c r="E17" s="307">
        <f>IF(Inputs!E30="","",Inputs!E30)</f>
        <v>167.6</v>
      </c>
      <c r="F17" s="307">
        <f>IF(Inputs!F30="","",Inputs!F30)</f>
        <v>149.69999999999999</v>
      </c>
      <c r="G17" s="307">
        <f>IF(Inputs!G30="","",Inputs!G30)</f>
        <v>82.1</v>
      </c>
      <c r="H17" s="307">
        <f>IF(Inputs!H30="","",Inputs!H30)</f>
        <v>107.2</v>
      </c>
      <c r="I17" s="307">
        <f>IF(Inputs!I30="","",Inputs!I30)</f>
        <v>108.4</v>
      </c>
      <c r="J17" s="307">
        <f>IF(Inputs!J30="","",Inputs!J30)</f>
        <v>95.8</v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704.6</v>
      </c>
      <c r="D19" s="144">
        <f>IF(Inputs!D29="","",Inputs!D29)</f>
        <v>585.4</v>
      </c>
      <c r="E19" s="144">
        <f>IF(Inputs!E29="","",Inputs!E29)</f>
        <v>337.7</v>
      </c>
      <c r="F19" s="144">
        <f>IF(Inputs!F29="","",Inputs!F29)</f>
        <v>376</v>
      </c>
      <c r="G19" s="144">
        <f>IF(Inputs!G29="","",Inputs!G29)</f>
        <v>559.6</v>
      </c>
      <c r="H19" s="144">
        <f>IF(Inputs!H29="","",Inputs!H29)</f>
        <v>370.3</v>
      </c>
      <c r="I19" s="144">
        <f>IF(Inputs!I29="","",Inputs!I29)</f>
        <v>243.7</v>
      </c>
      <c r="J19" s="144">
        <f>IF(Inputs!J29="","",Inputs!J29)</f>
        <v>236.6</v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>
        <f t="shared" si="8"/>
        <v>0</v>
      </c>
      <c r="I22" s="227">
        <f t="shared" si="8"/>
        <v>0</v>
      </c>
      <c r="J22" s="227">
        <f t="shared" si="8"/>
        <v>0</v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8136.3333333333321</v>
      </c>
      <c r="D24" s="309">
        <f t="shared" si="9"/>
        <v>6750.2666666666682</v>
      </c>
      <c r="E24" s="309">
        <f t="shared" si="9"/>
        <v>7774.7333333333318</v>
      </c>
      <c r="F24" s="309">
        <f t="shared" si="9"/>
        <v>7610.7000000000062</v>
      </c>
      <c r="G24" s="309">
        <f t="shared" si="9"/>
        <v>3830.5333333333379</v>
      </c>
      <c r="H24" s="309">
        <f t="shared" si="9"/>
        <v>6024.2666666666628</v>
      </c>
      <c r="I24" s="309">
        <f t="shared" si="9"/>
        <v>4865.0666666666675</v>
      </c>
      <c r="J24" s="309">
        <f t="shared" si="9"/>
        <v>4251.2666666666646</v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5.6131741374076692E-2</v>
      </c>
      <c r="D25" s="143">
        <f t="shared" si="10"/>
        <v>5.346920928896419E-2</v>
      </c>
      <c r="E25" s="143">
        <f t="shared" si="10"/>
        <v>5.8936583324657836E-2</v>
      </c>
      <c r="F25" s="143">
        <f t="shared" si="10"/>
        <v>8.1352848619943685E-2</v>
      </c>
      <c r="G25" s="143">
        <f t="shared" si="10"/>
        <v>5.0623074917005628E-2</v>
      </c>
      <c r="H25" s="143">
        <f t="shared" si="10"/>
        <v>6.7778862871638354E-2</v>
      </c>
      <c r="I25" s="143">
        <f t="shared" si="10"/>
        <v>6.1680562035553221E-2</v>
      </c>
      <c r="J25" s="143">
        <f t="shared" si="10"/>
        <v>6.2219121678976662E-2</v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6102.2499999999991</v>
      </c>
      <c r="D26" s="276">
        <f>IF(D6="","",D24*(1-Fin_Analysis!$I$84))</f>
        <v>5062.7000000000007</v>
      </c>
      <c r="E26" s="276">
        <f>IF(E6="","",E24*(1-Fin_Analysis!$I$84))</f>
        <v>5831.0499999999993</v>
      </c>
      <c r="F26" s="276">
        <f>IF(F6="","",F24*(1-Fin_Analysis!$I$84))</f>
        <v>5708.0250000000051</v>
      </c>
      <c r="G26" s="276">
        <f>IF(G6="","",G24*(1-Fin_Analysis!$I$84))</f>
        <v>2872.9000000000033</v>
      </c>
      <c r="H26" s="276">
        <f>IF(H6="","",H24*(1-Fin_Analysis!$I$84))</f>
        <v>4518.1999999999971</v>
      </c>
      <c r="I26" s="276">
        <f>IF(I6="","",I24*(1-Fin_Analysis!$I$84))</f>
        <v>3648.8000000000006</v>
      </c>
      <c r="J26" s="276">
        <f>IF(J6="","",J24*(1-Fin_Analysis!$I$84))</f>
        <v>3188.4499999999985</v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0.20533509787267629</v>
      </c>
      <c r="D27" s="305">
        <f t="shared" si="11"/>
        <v>-0.13176872089932321</v>
      </c>
      <c r="E27" s="305">
        <f t="shared" si="11"/>
        <v>2.1552988993565038E-2</v>
      </c>
      <c r="F27" s="305">
        <f t="shared" si="11"/>
        <v>0.98685126527202427</v>
      </c>
      <c r="G27" s="305">
        <f t="shared" si="11"/>
        <v>-0.36414944004249367</v>
      </c>
      <c r="H27" s="305">
        <f t="shared" si="11"/>
        <v>0.23827011620258615</v>
      </c>
      <c r="I27" s="305">
        <f t="shared" si="11"/>
        <v>0.14438049836127348</v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45565</v>
      </c>
      <c r="D28" s="287">
        <f>D5</f>
        <v>45016</v>
      </c>
      <c r="E28" s="287">
        <f t="shared" ref="E28" si="12">EOMONTH(EDATE(D28,-12),0)</f>
        <v>44651</v>
      </c>
      <c r="F28" s="287">
        <f t="shared" ref="F28" si="13">EOMONTH(EDATE(E28,-12),0)</f>
        <v>44286</v>
      </c>
      <c r="G28" s="287">
        <f t="shared" ref="G28" si="14">EOMONTH(EDATE(F28,-12),0)</f>
        <v>43921</v>
      </c>
      <c r="H28" s="287">
        <f t="shared" ref="H28" si="15">EOMONTH(EDATE(G28,-12),0)</f>
        <v>43555</v>
      </c>
      <c r="I28" s="287">
        <f t="shared" ref="I28" si="16">EOMONTH(EDATE(H28,-12),0)</f>
        <v>43190</v>
      </c>
      <c r="J28" s="287">
        <f t="shared" ref="J28" si="17">EOMONTH(EDATE(I28,-12),0)</f>
        <v>42825</v>
      </c>
      <c r="K28" s="287">
        <f t="shared" ref="K28" si="18">EOMONTH(EDATE(J28,-12),0)</f>
        <v>42460</v>
      </c>
      <c r="L28" s="287">
        <f t="shared" ref="L28" si="19">EOMONTH(EDATE(K28,-12),0)</f>
        <v>42094</v>
      </c>
      <c r="M28" s="287">
        <f t="shared" ref="M28" si="20">EOMONTH(EDATE(L28,-12),0)</f>
        <v>41729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86862.399999999994</v>
      </c>
      <c r="D29" s="147">
        <f>IF(D36="","",D36+D32)</f>
        <v>87340.5</v>
      </c>
      <c r="E29" s="147">
        <f t="shared" ref="E29:M29" si="21">IF(E36="","",E36+E32)</f>
        <v>87737.299999999988</v>
      </c>
      <c r="F29" s="147">
        <f t="shared" si="21"/>
        <v>64308.2</v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60481</v>
      </c>
      <c r="D32" s="144">
        <f>IF(Inputs!D37="","",Inputs!D37)</f>
        <v>53980.7</v>
      </c>
      <c r="E32" s="144">
        <f>IF(Inputs!E37="","",Inputs!E37)</f>
        <v>53182.6</v>
      </c>
      <c r="F32" s="144">
        <f>IF(Inputs!F37="","",Inputs!F37)</f>
        <v>32740.6</v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26381.4</v>
      </c>
      <c r="D36" s="144">
        <f>IF(Inputs!D41="","",Inputs!D41)</f>
        <v>33359.800000000003</v>
      </c>
      <c r="E36" s="144">
        <f>IF(Inputs!E41="","",Inputs!E41)</f>
        <v>34554.699999999997</v>
      </c>
      <c r="F36" s="144">
        <f>IF(Inputs!F41="","",Inputs!F41)</f>
        <v>31567.599999999999</v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1036.4000000000001</v>
      </c>
      <c r="D37" s="144">
        <f>IF(Inputs!D42="","",Inputs!D42)</f>
        <v>962.4</v>
      </c>
      <c r="E37" s="144">
        <f>IF(Inputs!E42="","",Inputs!E42)</f>
        <v>935.4</v>
      </c>
      <c r="F37" s="144">
        <f>IF(Inputs!F42="","",Inputs!F42)</f>
        <v>800.5</v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86862.399999999994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0.10178090098055469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0.79501071628968012</v>
      </c>
      <c r="D42" s="150">
        <f t="shared" si="35"/>
        <v>0.77639928013484794</v>
      </c>
      <c r="E42" s="150">
        <f t="shared" si="35"/>
        <v>0.77420437305496292</v>
      </c>
      <c r="F42" s="150">
        <f t="shared" si="35"/>
        <v>0.71388807333696291</v>
      </c>
      <c r="G42" s="150">
        <f t="shared" si="35"/>
        <v>0.71637051812485453</v>
      </c>
      <c r="H42" s="150">
        <f t="shared" si="35"/>
        <v>0.72094886207656972</v>
      </c>
      <c r="I42" s="150">
        <f t="shared" si="35"/>
        <v>0.72592314610084452</v>
      </c>
      <c r="J42" s="150">
        <f t="shared" si="35"/>
        <v>0.70801924071381883</v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0.12234231416665901</v>
      </c>
      <c r="D43" s="146">
        <f t="shared" si="36"/>
        <v>0.14464579170380759</v>
      </c>
      <c r="E43" s="146">
        <f t="shared" si="36"/>
        <v>0.14154159637832697</v>
      </c>
      <c r="F43" s="146">
        <f t="shared" si="36"/>
        <v>0.16943780125933883</v>
      </c>
      <c r="G43" s="146">
        <f t="shared" si="36"/>
        <v>0.20434249385030695</v>
      </c>
      <c r="H43" s="146">
        <f t="shared" si="36"/>
        <v>0.18098015478338877</v>
      </c>
      <c r="I43" s="146">
        <f t="shared" si="36"/>
        <v>0.18527327558810205</v>
      </c>
      <c r="J43" s="146">
        <f t="shared" si="36"/>
        <v>0.20191236303675442</v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>
        <f t="shared" si="37"/>
        <v>0</v>
      </c>
      <c r="I44" s="146">
        <f t="shared" si="37"/>
        <v>0</v>
      </c>
      <c r="J44" s="146">
        <f t="shared" si="37"/>
        <v>0</v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6.4812855868203439E-3</v>
      </c>
      <c r="D45" s="146">
        <f t="shared" si="38"/>
        <v>6.1826446595215261E-3</v>
      </c>
      <c r="E45" s="146">
        <f t="shared" si="38"/>
        <v>3.4132590508976859E-3</v>
      </c>
      <c r="F45" s="146">
        <f t="shared" si="38"/>
        <v>5.3588887717027868E-3</v>
      </c>
      <c r="G45" s="146">
        <f t="shared" si="38"/>
        <v>9.8606539467285034E-3</v>
      </c>
      <c r="H45" s="146">
        <f t="shared" si="38"/>
        <v>5.5549805058137539E-3</v>
      </c>
      <c r="I45" s="146">
        <f t="shared" si="38"/>
        <v>4.1195880750011828E-3</v>
      </c>
      <c r="J45" s="146">
        <f t="shared" si="38"/>
        <v>4.616990760164307E-3</v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1.3233621247382252E-3</v>
      </c>
      <c r="D46" s="146">
        <f t="shared" si="39"/>
        <v>1.4800044498706581E-3</v>
      </c>
      <c r="E46" s="146">
        <f t="shared" si="39"/>
        <v>2.2586604162686892E-3</v>
      </c>
      <c r="F46" s="146">
        <f t="shared" si="39"/>
        <v>2.8447718054039261E-3</v>
      </c>
      <c r="G46" s="146">
        <f t="shared" si="39"/>
        <v>1.9289008554358115E-3</v>
      </c>
      <c r="H46" s="146">
        <f t="shared" si="39"/>
        <v>2.1441854720433318E-3</v>
      </c>
      <c r="I46" s="146">
        <f t="shared" si="39"/>
        <v>2.4432408553146123E-3</v>
      </c>
      <c r="J46" s="146">
        <f t="shared" si="39"/>
        <v>2.4925765839602177E-3</v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>
        <f t="shared" si="40"/>
        <v>0</v>
      </c>
      <c r="I47" s="146">
        <f t="shared" si="40"/>
        <v>0</v>
      </c>
      <c r="J47" s="146">
        <f t="shared" si="40"/>
        <v>0</v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7.4842321832102252E-2</v>
      </c>
      <c r="D48" s="281">
        <f t="shared" si="41"/>
        <v>7.1292279051952262E-2</v>
      </c>
      <c r="E48" s="281">
        <f t="shared" si="41"/>
        <v>7.8582111099543772E-2</v>
      </c>
      <c r="F48" s="281">
        <f t="shared" si="41"/>
        <v>0.10847046482659158</v>
      </c>
      <c r="G48" s="281">
        <f t="shared" si="41"/>
        <v>6.749743322267418E-2</v>
      </c>
      <c r="H48" s="281">
        <f t="shared" si="41"/>
        <v>9.0371817162184481E-2</v>
      </c>
      <c r="I48" s="281">
        <f t="shared" si="41"/>
        <v>8.2240749380737624E-2</v>
      </c>
      <c r="J48" s="281">
        <f t="shared" si="41"/>
        <v>8.295882890530222E-2</v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1.2515541822468641</v>
      </c>
      <c r="D50" s="153">
        <f t="shared" si="42"/>
        <v>1.084083558028635</v>
      </c>
      <c r="E50" s="153">
        <f t="shared" si="42"/>
        <v>1.1276583619509606</v>
      </c>
      <c r="F50" s="153">
        <f t="shared" si="42"/>
        <v>1.0910552620039125</v>
      </c>
      <c r="G50" s="153" t="e">
        <f t="shared" si="42"/>
        <v>#VALUE!</v>
      </c>
      <c r="H50" s="153" t="e">
        <f t="shared" si="42"/>
        <v>#VALUE!</v>
      </c>
      <c r="I50" s="153" t="e">
        <f t="shared" si="42"/>
        <v>#VALUE!</v>
      </c>
      <c r="J50" s="153" t="e">
        <f t="shared" si="42"/>
        <v>#VALUE!</v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e">
        <f t="shared" si="45"/>
        <v>#VALUE!</v>
      </c>
      <c r="G53" s="146" t="e">
        <f t="shared" si="45"/>
        <v>#VALUE!</v>
      </c>
      <c r="H53" s="146" t="e">
        <f t="shared" si="45"/>
        <v>#VALUE!</v>
      </c>
      <c r="I53" s="146" t="e">
        <f t="shared" si="45"/>
        <v>#VALUE!</v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0.2917833262723572</v>
      </c>
      <c r="D55" s="150">
        <f t="shared" si="46"/>
        <v>0.37093215633068283</v>
      </c>
      <c r="E55" s="150">
        <f t="shared" si="46"/>
        <v>0.38318138351647474</v>
      </c>
      <c r="F55" s="150">
        <f t="shared" si="46"/>
        <v>0.47843198845559354</v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8.6599205211192604E-2</v>
      </c>
      <c r="D57" s="146">
        <f t="shared" si="48"/>
        <v>8.6722499851857676E-2</v>
      </c>
      <c r="E57" s="146">
        <f t="shared" si="48"/>
        <v>4.3435573352998177E-2</v>
      </c>
      <c r="F57" s="146">
        <f t="shared" si="48"/>
        <v>4.9404128398176213E-2</v>
      </c>
      <c r="G57" s="146">
        <f t="shared" si="48"/>
        <v>0.1460893174144591</v>
      </c>
      <c r="H57" s="146">
        <f t="shared" si="48"/>
        <v>6.1468062502766631E-2</v>
      </c>
      <c r="I57" s="146">
        <f t="shared" si="48"/>
        <v>5.009181100635824E-2</v>
      </c>
      <c r="J57" s="146">
        <f t="shared" si="48"/>
        <v>5.5654001160438483E-2</v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>
        <f>IF(D36="","",IF(Inputs!D38=0,0,Inputs!D38/D29))</f>
        <v>0</v>
      </c>
      <c r="E58" s="146">
        <f>IF(E36="","",IF(Inputs!E38=0,0,Inputs!E38/E29))</f>
        <v>0</v>
      </c>
      <c r="F58" s="146">
        <f>IF(F36="","",IF(Inputs!F38=0,0,Inputs!F38/F29))</f>
        <v>0</v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0.34882356809364107</v>
      </c>
      <c r="D60" s="156">
        <f t="shared" si="50"/>
        <v>0.22642763513944536</v>
      </c>
      <c r="E60" s="156">
        <f t="shared" si="50"/>
        <v>0.24130286274054882</v>
      </c>
      <c r="F60" s="156">
        <f t="shared" si="50"/>
        <v>0.2595857263115473</v>
      </c>
      <c r="G60" s="156" t="e">
        <f t="shared" si="50"/>
        <v>#VALUE!</v>
      </c>
      <c r="H60" s="156" t="e">
        <f t="shared" si="50"/>
        <v>#VALUE!</v>
      </c>
      <c r="I60" s="156" t="e">
        <f t="shared" si="50"/>
        <v>#VALUE!</v>
      </c>
      <c r="J60" s="156" t="e">
        <f t="shared" si="50"/>
        <v>#VALUE!</v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0.32102321299401587</v>
      </c>
      <c r="D61" s="156">
        <f t="shared" si="51"/>
        <v>0.20835828389520974</v>
      </c>
      <c r="E61" s="156">
        <f t="shared" si="51"/>
        <v>0.23125803729802027</v>
      </c>
      <c r="F61" s="156">
        <f t="shared" si="51"/>
        <v>0.24736488001794146</v>
      </c>
      <c r="G61" s="156" t="e">
        <f t="shared" si="51"/>
        <v>#VALUE!</v>
      </c>
      <c r="H61" s="156" t="e">
        <f t="shared" si="51"/>
        <v>#VALUE!</v>
      </c>
      <c r="I61" s="156" t="e">
        <f t="shared" si="51"/>
        <v>#VALUE!</v>
      </c>
      <c r="J61" s="156" t="e">
        <f t="shared" si="51"/>
        <v>#VALUE!</v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26381.4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25345</v>
      </c>
      <c r="K3" s="75"/>
    </row>
    <row r="4" spans="1:11" ht="15" customHeight="1" x14ac:dyDescent="0.35">
      <c r="B4" s="9" t="s">
        <v>22</v>
      </c>
      <c r="C4" s="3"/>
      <c r="D4" s="144">
        <f>Inputs!C42</f>
        <v>1036.4000000000001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-63078.494544536014</v>
      </c>
      <c r="E6" s="170">
        <f>1-D6/D3</f>
        <v>3.3910214978938193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45565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60481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60481</v>
      </c>
      <c r="J48" s="187"/>
    </row>
    <row r="49" spans="2:11" ht="15" customHeight="1" thickTop="1" x14ac:dyDescent="0.35">
      <c r="B49" s="9" t="s">
        <v>14</v>
      </c>
      <c r="C49" s="184">
        <f>Inputs!C41+Inputs!C37</f>
        <v>86862.399999999994</v>
      </c>
      <c r="D49" s="170">
        <f>E49/C49</f>
        <v>0</v>
      </c>
      <c r="E49" s="176">
        <f>E28+E48</f>
        <v>0</v>
      </c>
      <c r="F49" s="3"/>
      <c r="G49" s="3"/>
      <c r="H49" s="9" t="s">
        <v>79</v>
      </c>
      <c r="I49" s="175">
        <f>Inputs!C37</f>
        <v>60481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1036.4000000000001</v>
      </c>
      <c r="D53" s="34">
        <f>IF(E53=0, 0,E53/C53)</f>
        <v>2.5062664459050694</v>
      </c>
      <c r="E53" s="176">
        <f>IF(C53=0,0,MAX(C53,C53*Dashboard!G23))</f>
        <v>2597.494544536014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254</v>
      </c>
      <c r="I61" s="203">
        <f>C99*Data!$C$4/Common_Shares</f>
        <v>-6.0555260126598451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255</v>
      </c>
      <c r="I63" s="207">
        <f>IF(I61&gt;0,FV(I62,D93,0,-I61),I61)</f>
        <v>-6.0555260126598451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256</v>
      </c>
      <c r="I64" s="207">
        <f>IF(I61&gt;0,PV(C94,D93,0,-I63),I61)</f>
        <v>-6.0555260126598451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86862.399999999994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60481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26381.399999999994</v>
      </c>
      <c r="D70" s="34">
        <f t="shared" si="2"/>
        <v>-2.2925621839629442</v>
      </c>
      <c r="E70" s="202">
        <f>E68-E69</f>
        <v>-60481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45382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108713</v>
      </c>
      <c r="D74" s="98"/>
      <c r="E74" s="256">
        <f>Inputs!E91</f>
        <v>108713</v>
      </c>
      <c r="F74" s="98"/>
      <c r="H74" s="256">
        <f>Inputs!F91</f>
        <v>108713</v>
      </c>
      <c r="I74" s="98"/>
      <c r="K74" s="75"/>
    </row>
    <row r="75" spans="1:11" ht="15" customHeight="1" x14ac:dyDescent="0.35">
      <c r="B75" s="100" t="s">
        <v>98</v>
      </c>
      <c r="C75" s="97">
        <f>Data!C8</f>
        <v>86428</v>
      </c>
      <c r="D75" s="101">
        <f>C75/$C$74</f>
        <v>0.79501071628968012</v>
      </c>
      <c r="E75" s="256">
        <f>Inputs!E92</f>
        <v>86428</v>
      </c>
      <c r="F75" s="211">
        <f>E75/E74</f>
        <v>0.79501071628968012</v>
      </c>
      <c r="H75" s="256">
        <f>Inputs!F92</f>
        <v>86428</v>
      </c>
      <c r="I75" s="211">
        <f>H75/$H$74</f>
        <v>0.79501071628968012</v>
      </c>
      <c r="K75" s="75"/>
    </row>
    <row r="76" spans="1:11" ht="15" customHeight="1" x14ac:dyDescent="0.35">
      <c r="B76" s="12" t="s">
        <v>88</v>
      </c>
      <c r="C76" s="145">
        <f>C74-C75</f>
        <v>22285</v>
      </c>
      <c r="D76" s="212"/>
      <c r="E76" s="213">
        <f>E74-E75</f>
        <v>22285</v>
      </c>
      <c r="F76" s="212"/>
      <c r="H76" s="213">
        <f>H74-H75</f>
        <v>22285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13300.2</v>
      </c>
      <c r="D77" s="101">
        <f>C77/$C$74</f>
        <v>0.12234231416665901</v>
      </c>
      <c r="E77" s="256">
        <f>Inputs!E93</f>
        <v>13300.2</v>
      </c>
      <c r="F77" s="211">
        <f>E77/E74</f>
        <v>0.12234231416665901</v>
      </c>
      <c r="H77" s="256">
        <f>Inputs!F93</f>
        <v>13300.2</v>
      </c>
      <c r="I77" s="211">
        <f>H77/$H$74</f>
        <v>0.12234231416665901</v>
      </c>
      <c r="K77" s="75"/>
    </row>
    <row r="78" spans="1:11" ht="15" customHeight="1" x14ac:dyDescent="0.35">
      <c r="B78" s="93" t="s">
        <v>151</v>
      </c>
      <c r="C78" s="97">
        <f>MAX(Data!C12,0)</f>
        <v>143.86666666666667</v>
      </c>
      <c r="D78" s="101">
        <f>C78/$C$74</f>
        <v>1.3233621247382252E-3</v>
      </c>
      <c r="E78" s="214">
        <f>E74*F78</f>
        <v>143.86666666666667</v>
      </c>
      <c r="F78" s="211">
        <f>I78</f>
        <v>1.3233621247382252E-3</v>
      </c>
      <c r="H78" s="256">
        <f>Inputs!F97</f>
        <v>143.86666666666667</v>
      </c>
      <c r="I78" s="211">
        <f>H78/$H$74</f>
        <v>1.3233621247382252E-3</v>
      </c>
      <c r="K78" s="75"/>
    </row>
    <row r="79" spans="1:11" ht="15" customHeight="1" x14ac:dyDescent="0.35">
      <c r="B79" s="215" t="s">
        <v>204</v>
      </c>
      <c r="C79" s="216">
        <f>C76-C77-C78</f>
        <v>8840.9333333333325</v>
      </c>
      <c r="D79" s="217">
        <f>C79/C74</f>
        <v>8.1323607418922597E-2</v>
      </c>
      <c r="E79" s="218">
        <f>E76-E77-E78</f>
        <v>8840.9333333333325</v>
      </c>
      <c r="F79" s="217">
        <f>E79/E74</f>
        <v>8.1323607418922597E-2</v>
      </c>
      <c r="G79" s="219"/>
      <c r="H79" s="218">
        <f>H76-H77-H78</f>
        <v>8840.9333333333325</v>
      </c>
      <c r="I79" s="217">
        <f>H79/H74</f>
        <v>8.1323607418922597E-2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704.6</v>
      </c>
      <c r="D81" s="101">
        <f>C81/$C$74</f>
        <v>6.4812855868203439E-3</v>
      </c>
      <c r="E81" s="214">
        <f>E74*F81</f>
        <v>704.6</v>
      </c>
      <c r="F81" s="211">
        <f>I81</f>
        <v>6.4812855868203439E-3</v>
      </c>
      <c r="H81" s="256">
        <f>Inputs!F94</f>
        <v>704.6</v>
      </c>
      <c r="I81" s="211">
        <f>H81/$H$74</f>
        <v>6.4812855868203439E-3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8136.3333333333321</v>
      </c>
      <c r="D83" s="223">
        <f>C83/$C$74</f>
        <v>7.4842321832102252E-2</v>
      </c>
      <c r="E83" s="224">
        <f>E79-E81-E82-E80</f>
        <v>8136.3333333333321</v>
      </c>
      <c r="F83" s="223">
        <f>E83/E74</f>
        <v>7.4842321832102252E-2</v>
      </c>
      <c r="H83" s="224">
        <f>H79-H81-H82-H80</f>
        <v>8136.3333333333321</v>
      </c>
      <c r="I83" s="223">
        <f>H83/$H$74</f>
        <v>7.4842321832102252E-2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6102.2499999999991</v>
      </c>
      <c r="D85" s="217">
        <f>C85/$C$74</f>
        <v>5.6131741374076692E-2</v>
      </c>
      <c r="E85" s="229">
        <f>E83*(1-F84)</f>
        <v>6102.2499999999991</v>
      </c>
      <c r="F85" s="217">
        <f>E85/E74</f>
        <v>5.6131741374076692E-2</v>
      </c>
      <c r="G85" s="219"/>
      <c r="H85" s="229">
        <f>H83*(1-I84)</f>
        <v>6102.2499999999991</v>
      </c>
      <c r="I85" s="217">
        <f>H85/$H$74</f>
        <v>5.6131741374076692E-2</v>
      </c>
      <c r="K85" s="75"/>
    </row>
    <row r="86" spans="1:11" ht="15" customHeight="1" x14ac:dyDescent="0.35">
      <c r="B86" s="3" t="s">
        <v>144</v>
      </c>
      <c r="C86" s="230">
        <f>C85*Data!C4/Common_Shares</f>
        <v>0.61097424994218896</v>
      </c>
      <c r="D86" s="98"/>
      <c r="E86" s="231">
        <f>E85*Data!C4/Common_Shares</f>
        <v>0.61097424994218896</v>
      </c>
      <c r="F86" s="98"/>
      <c r="H86" s="231">
        <f>H85*Data!C4/Common_Shares</f>
        <v>0.61097424994218896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9.2292182770723402E-2</v>
      </c>
      <c r="D87" s="98"/>
      <c r="E87" s="233">
        <f>E86*Exchange_Rate/Dashboard!G3</f>
        <v>9.2292182770723402E-2</v>
      </c>
      <c r="F87" s="98"/>
      <c r="H87" s="233">
        <f>H86*Exchange_Rate/Dashboard!G3</f>
        <v>9.2292182770723402E-2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0.55000000000000004</v>
      </c>
      <c r="D88" s="235">
        <f>C88/C86</f>
        <v>0.90020160432627339</v>
      </c>
      <c r="E88" s="255">
        <f>Inputs!E98</f>
        <v>0.44000000000000006</v>
      </c>
      <c r="F88" s="235">
        <f>E88/E86</f>
        <v>0.72016128346101871</v>
      </c>
      <c r="H88" s="255">
        <f>Inputs!F98</f>
        <v>0.55000000000000004</v>
      </c>
      <c r="I88" s="235">
        <f>H88/H86</f>
        <v>0.90020160432627339</v>
      </c>
      <c r="K88" s="75"/>
    </row>
    <row r="89" spans="1:11" ht="15" customHeight="1" x14ac:dyDescent="0.35">
      <c r="B89" s="3" t="s">
        <v>194</v>
      </c>
      <c r="C89" s="232">
        <f>C88*Exchange_Rate/Dashboard!G3</f>
        <v>8.3081570996978854E-2</v>
      </c>
      <c r="D89" s="98"/>
      <c r="E89" s="232">
        <f>E88*Exchange_Rate/Dashboard!G3</f>
        <v>6.6465256797583083E-2</v>
      </c>
      <c r="F89" s="98"/>
      <c r="H89" s="232">
        <f>H88*Exchange_Rate/Dashboard!G3</f>
        <v>8.3081570996978854E-2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HK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15.813045463722077</v>
      </c>
      <c r="H93" s="3" t="s">
        <v>183</v>
      </c>
      <c r="I93" s="237">
        <f>FV(H87,D93,0,-(H86/(C93-D94)))*Exchange_Rate</f>
        <v>15.813045463722077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10.348486404487362</v>
      </c>
      <c r="H94" s="3" t="s">
        <v>184</v>
      </c>
      <c r="I94" s="237">
        <f>FV(H89,D93,0,-(H88/(C93-D94)))*Exchange_Rate</f>
        <v>13.760831117255849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90300.727111804255</v>
      </c>
      <c r="D97" s="244"/>
      <c r="E97" s="245">
        <f>PV(C94,D93,0,-F93)</f>
        <v>9.0411600665932905</v>
      </c>
      <c r="F97" s="244"/>
      <c r="H97" s="245">
        <f>PV(C94,D93,0,-I93)</f>
        <v>9.0411600665932905</v>
      </c>
      <c r="I97" s="245">
        <f>PV(C93,D93,0,-I93)</f>
        <v>11.840816820612993</v>
      </c>
      <c r="K97" s="75"/>
    </row>
    <row r="98" spans="2:11" ht="15" customHeight="1" x14ac:dyDescent="0.35">
      <c r="B98" s="18" t="s">
        <v>133</v>
      </c>
      <c r="C98" s="243">
        <f>-E53*Exchange_Rate</f>
        <v>-2597.494544536014</v>
      </c>
      <c r="D98" s="244"/>
      <c r="E98" s="244"/>
      <c r="F98" s="244"/>
      <c r="H98" s="245">
        <f>C98*Data!$C$4/Common_Shares</f>
        <v>-0.26006838151121625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-60481</v>
      </c>
      <c r="D99" s="248"/>
      <c r="E99" s="249">
        <f>IF(H99&gt;0,I64,H99)</f>
        <v>-6.0555260126598451</v>
      </c>
      <c r="F99" s="248"/>
      <c r="H99" s="249">
        <f>I64</f>
        <v>-6.0555260126598451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2.3167308215588949</v>
      </c>
      <c r="E100" s="251">
        <f>MAX(E97+H98+E99,0)</f>
        <v>2.7255656724222295</v>
      </c>
      <c r="F100" s="251">
        <f>(E100+H100)/2</f>
        <v>2.7255656724222295</v>
      </c>
      <c r="H100" s="251">
        <f>MAX(H97+H98+H99,0)</f>
        <v>2.7255656724222295</v>
      </c>
      <c r="I100" s="251">
        <f>MAX(I97+H98+H99,0)</f>
        <v>5.5252224264419318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5.8584467303881089</v>
      </c>
      <c r="E103" s="245">
        <f>PV(C94,D93,0,-F94)</f>
        <v>5.9167806887410297</v>
      </c>
      <c r="F103" s="251">
        <f>(E103+H103)/2</f>
        <v>6.8922902710448346</v>
      </c>
      <c r="H103" s="245">
        <f>PV(C94,D93,0,-I94)</f>
        <v>7.8677998533486395</v>
      </c>
      <c r="I103" s="251">
        <f>PV(C93,D93,0,-I94)</f>
        <v>10.304117630764404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4.0875887759735017</v>
      </c>
      <c r="E106" s="245">
        <f>(E100+E103)/2</f>
        <v>4.3211731805816296</v>
      </c>
      <c r="F106" s="251">
        <f>(F100+F103)/2</f>
        <v>4.8089279717335316</v>
      </c>
      <c r="H106" s="245">
        <f>(H100+H103)/2</f>
        <v>5.2966827628854345</v>
      </c>
      <c r="I106" s="245">
        <f>(I100+I103)/2</f>
        <v>7.9146700286031679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