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F93BC16-2BDA-4F8D-A63A-E35EB2FBD90E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5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E95" i="4" l="1"/>
  <c r="F96" i="4"/>
  <c r="E92" i="4"/>
  <c r="F97" i="4"/>
  <c r="F92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<sst xmlns="http://schemas.openxmlformats.org/spreadsheetml/2006/main" count="406" uniqueCount="290">
  <si>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</si>
  <si>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</si>
  <si>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</si>
  <si>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</si>
  <si>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</si>
  <si>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</si>
  <si>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</si>
  <si>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</si>
  <si>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</si>
  <si>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</si>
  <si>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</si>
  <si>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</si>
  <si>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</si>
  <si>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</si>
  <si>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</si>
  <si>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</si>
  <si>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</si>
  <si>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</si>
  <si>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</si>
  <si>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</si>
  <si>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</si>
  <si>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</si>
  <si>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</si>
  <si>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</si>
  <si>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</si>
  <si>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</si>
  <si>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</si>
  <si>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</si>
  <si>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</si>
  <si>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</si>
  <si>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</si>
  <si>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</si>
  <si>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</si>
  <si>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</si>
  <si>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</si>
  <si>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</si>
  <si>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</si>
  <si>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</si>
  <si>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</si>
  <si>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</si>
  <si>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</si>
  <si>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</si>
  <si>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</si>
  <si>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</si>
  <si>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</si>
  <si>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</si>
  <si>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</si>
  <si>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</si>
  <si>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</si>
  <si>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</si>
  <si>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</si>
  <si>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</si>
  <si>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</si>
  <si>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</si>
  <si>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</si>
  <si>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</si>
  <si>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</si>
  <si>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</si>
  <si>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</si>
  <si>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</si>
  <si>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</si>
  <si>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</si>
  <si>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</si>
  <si>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</si>
  <si>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</si>
  <si>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</si>
  <si>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</si>
  <si>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</si>
  <si>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</si>
  <si>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</si>
  <si>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</si>
  <si>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</si>
  <si>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</si>
  <si>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</si>
  <si>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</si>
  <si>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</si>
  <si>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</si>
  <si>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</si>
  <si>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</si>
  <si>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</si>
  <si>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</si>
  <si>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</si>
  <si>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</si>
  <si>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</si>
  <si>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</si>
  <si>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</si>
  <si>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</si>
  <si>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</si>
  <si>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</si>
  <si>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</si>
  <si>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</si>
  <si>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</si>
  <si>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</si>
  <si>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</si>
  <si>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</si>
  <si>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</si>
  <si>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</si>
  <si>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</si>
  <si>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</si>
  <si>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</si>
  <si>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</si>
  <si>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</si>
  <si>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</si>
  <si>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</si>
  <si>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</si>
  <si>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</si>
  <si>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</si>
  <si>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</si>
  <si>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</si>
  <si>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</si>
  <si>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</si>
  <si>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</si>
  <si>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</si>
  <si>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</si>
  <si>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</si>
  <si>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</si>
  <si>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</si>
  <si>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</si>
  <si>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</si>
  <si>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</si>
  <si>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</si>
  <si>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</si>
  <si>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</si>
  <si>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</si>
  <si>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</si>
  <si>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</si>
  <si>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</si>
  <si>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</si>
  <si>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</si>
  <si>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</si>
  <si>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</si>
  <si>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</si>
  <si>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</si>
  <si>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</si>
  <si>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</si>
  <si>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</si>
  <si>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</si>
  <si>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</si>
  <si>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</si>
  <si>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</si>
  <si>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</si>
  <si>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</si>
  <si>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</si>
  <si>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</si>
  <si>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</si>
  <si>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</si>
  <si>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</si>
  <si>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</si>
  <si>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</si>
  <si>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</si>
  <si>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</si>
  <si>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</si>
  <si>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</si>
  <si>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</si>
  <si>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</si>
  <si>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</si>
  <si>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</si>
  <si>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</si>
  <si>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</si>
  <si>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</si>
  <si>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</si>
  <si>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</si>
  <si>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</si>
  <si>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</si>
  <si>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</si>
  <si>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</si>
  <si>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</si>
  <si>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</si>
  <si>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</si>
  <si>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</si>
  <si>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</si>
  <si>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</si>
  <si>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</si>
  <si>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</si>
  <si>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</si>
  <si>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</si>
  <si>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</si>
  <si>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</si>
  <si>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</si>
  <si>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</si>
  <si>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</si>
  <si>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</si>
  <si>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</si>
  <si>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</si>
  <si>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</si>
  <si>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</si>
  <si>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</si>
  <si>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</si>
  <si>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</si>
  <si>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</si>
  <si>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</si>
  <si>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</si>
  <si>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</si>
  <si>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</si>
  <si>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</si>
  <si>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</si>
  <si>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</si>
  <si>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</si>
  <si>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</si>
  <si>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</si>
  <si>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</si>
  <si>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</si>
  <si>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</si>
  <si>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</si>
  <si>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</si>
  <si>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</si>
  <si>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</si>
  <si>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</si>
  <si>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</si>
  <si>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</si>
  <si>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</si>
  <si>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</si>
  <si>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</si>
  <si>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</si>
  <si>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</si>
  <si>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</si>
  <si>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</si>
  <si>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</si>
  <si>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</si>
  <si>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</si>
  <si>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</si>
  <si>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</si>
  <si>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</si>
  <si>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</si>
  <si>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</si>
  <si>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</si>
  <si>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</si>
  <si>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</si>
  <si>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</si>
  <si>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</si>
  <si>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</si>
  <si>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</si>
  <si>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</si>
  <si>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</si>
  <si>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</si>
  <si>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</si>
  <si>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</si>
  <si>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</si>
  <si>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</si>
  <si>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</si>
  <si>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</si>
  <si>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</si>
  <si>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</si>
  <si>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</si>
  <si>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</si>
  <si>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</si>
  <si>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</si>
  <si>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</si>
  <si>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</si>
  <si>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</si>
  <si>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</si>
  <si>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</si>
  <si>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</si>
  <si>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</si>
  <si>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</si>
  <si>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</si>
  <si>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</si>
  <si>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</si>
  <si>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</si>
  <si>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</si>
  <si>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</si>
  <si>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</si>
  <si>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</si>
  <si>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</si>
  <si>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</si>
  <si>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</si>
  <si>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</si>
  <si>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</si>
  <si>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</si>
  <si>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</si>
  <si>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</si>
  <si>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</si>
  <si>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</si>
  <si>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</si>
  <si>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</si>
  <si>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</si>
  <si>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</si>
  <si>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</si>
  <si>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</si>
  <si>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</si>
  <si>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2888.HK</t>
  </si>
  <si>
    <t>Standard Chartered</t>
  </si>
  <si>
    <t xml:space="preserve">Superior Cycl. </t>
  </si>
  <si>
    <t>C0014</t>
  </si>
  <si>
    <t>USD</t>
  </si>
  <si>
    <t>UK Tax Rate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</si>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</sst>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280</v>
      </c>
      <c r="D4" s="66"/>
    </row>
    <row r="5" spans="1:5" x14ac:dyDescent="0.35">
      <c r="B5" s="46" t="s">
        <v>168</v>
      </c>
      <c r="C5" s="67" t="s">
        <v>281</v>
      </c>
    </row>
    <row r="6" spans="1:5" x14ac:dyDescent="0.35">
      <c r="B6" s="46" t="s">
        <v>267</v>
      </c>
      <c r="C6" s="68">
        <v>45606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282</v>
      </c>
    </row>
    <row r="9" spans="1:5" x14ac:dyDescent="0.35">
      <c r="B9" s="39" t="s">
        <v>189</v>
      </c>
      <c r="C9" s="119" t="s">
        <v>283</v>
      </c>
    </row>
    <row r="10" spans="1:5" x14ac:dyDescent="0.35">
      <c r="B10" s="39" t="s">
        <v>190</v>
      </c>
      <c r="C10" s="70">
        <v>2454657755</v>
      </c>
    </row>
    <row r="11" spans="1:5" x14ac:dyDescent="0.35">
      <c r="B11" s="39" t="s">
        <v>191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164</v>
      </c>
    </row>
    <row r="16" spans="1:5" x14ac:dyDescent="0.35">
      <c r="B16" s="74" t="s">
        <v>88</v>
      </c>
      <c r="C16" s="120">
        <v>0.23499999999999999</v>
      </c>
      <c r="D16" s="75" t="s">
        <v>285</v>
      </c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287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38292</v>
      </c>
      <c r="D25" s="77">
        <v>24836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1323</v>
      </c>
      <c r="D26" s="78">
        <v>1695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11551</v>
      </c>
      <c r="D27" s="78">
        <v>10913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19458</v>
      </c>
      <c r="D29" s="78">
        <v>7659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-46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-7</v>
      </c>
      <c r="D31" s="78">
        <v>-46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0.21+0.09</f>
        <v>0.3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2.4214770838525339E-2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38292</v>
      </c>
      <c r="D91" s="98"/>
      <c r="E91" s="99">
        <f>C91</f>
        <v>38292</v>
      </c>
      <c r="F91" s="99">
        <f>C91</f>
        <v>38292</v>
      </c>
    </row>
    <row r="92" spans="2:8" x14ac:dyDescent="0.35">
      <c r="B92" s="100" t="s">
        <v>97</v>
      </c>
      <c r="C92" s="97">
        <f>C26</f>
        <v>1323</v>
      </c>
      <c r="D92" s="101">
        <f>C92/C91</f>
        <v>3.4550297712315887E-2</v>
      </c>
      <c r="E92" s="102">
        <f>E91*D92</f>
        <v>1323</v>
      </c>
      <c r="F92" s="102">
        <f>F91*D92</f>
        <v>1323</v>
      </c>
    </row>
    <row r="93" spans="2:8" x14ac:dyDescent="0.35">
      <c r="B93" s="100" t="s">
        <v>215</v>
      </c>
      <c r="C93" s="97">
        <f>C27+C28</f>
        <v>11551</v>
      </c>
      <c r="D93" s="101">
        <f>C93/C91</f>
        <v>0.30165569831818656</v>
      </c>
      <c r="E93" s="102">
        <f>E91*D93</f>
        <v>11551</v>
      </c>
      <c r="F93" s="102">
        <f>F91*D93</f>
        <v>11551</v>
      </c>
    </row>
    <row r="94" spans="2:8" x14ac:dyDescent="0.35">
      <c r="B94" s="100" t="s">
        <v>221</v>
      </c>
      <c r="C94" s="97">
        <f>C29</f>
        <v>19458</v>
      </c>
      <c r="D94" s="101">
        <f>C94/C91</f>
        <v>0.50814791601378884</v>
      </c>
      <c r="E94" s="103"/>
      <c r="F94" s="102">
        <f>F91*D94</f>
        <v>19458.000000000004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0.3</v>
      </c>
      <c r="D98" s="105"/>
      <c r="E98" s="106">
        <f>F98</f>
        <v>0.3</v>
      </c>
      <c r="F98" s="106">
        <f>C98</f>
        <v>0.3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2888.HK : Standard Chartered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2888.HK</v>
      </c>
      <c r="D3" s="317"/>
      <c r="E3" s="3"/>
      <c r="F3" s="9" t="s">
        <v>1</v>
      </c>
      <c r="G3" s="10">
        <v>96.2</v>
      </c>
      <c r="H3" s="11" t="s">
        <v>255</v>
      </c>
    </row>
    <row r="4" spans="1:10" ht="15.75" customHeight="1" x14ac:dyDescent="0.35">
      <c r="B4" s="12" t="s">
        <v>168</v>
      </c>
      <c r="C4" s="318" t="str">
        <f>Inputs!C5</f>
        <v>Standard Chartered</v>
      </c>
      <c r="D4" s="319"/>
      <c r="E4" s="3"/>
      <c r="F4" s="9" t="s">
        <v>2</v>
      </c>
      <c r="G4" s="322">
        <f>Inputs!C10</f>
        <v>2454657755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45606</v>
      </c>
      <c r="D5" s="321"/>
      <c r="E5" s="16"/>
      <c r="F5" s="12" t="s">
        <v>91</v>
      </c>
      <c r="G5" s="314">
        <f>G3*G4/1000000</f>
        <v>236138.076031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USD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7.7648698488871259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0.6637940039694975</v>
      </c>
      <c r="F21" s="3"/>
      <c r="G21" s="34"/>
    </row>
    <row r="22" spans="1:8" ht="15.75" customHeight="1" x14ac:dyDescent="0.35">
      <c r="B22" s="35" t="s">
        <v>243</v>
      </c>
      <c r="C22" s="36" t="e">
        <f>Data!C50</f>
        <v>#DIV/0!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238</v>
      </c>
      <c r="C24" s="42">
        <f>Fin_Analysis!I81</f>
        <v>0.50814791601378884</v>
      </c>
      <c r="F24" s="39" t="s">
        <v>223</v>
      </c>
      <c r="G24" s="43">
        <f>G3/(Fin_Analysis!H86*G7)</f>
        <v>6.6699740591501362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0.1615118933412292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2.4214770838525339E-2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222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22.650847143867043</v>
      </c>
      <c r="D29" s="54">
        <f>G29*(1+G20)</f>
        <v>40.134778302754093</v>
      </c>
      <c r="E29" s="3"/>
      <c r="F29" s="55">
        <f>IF(Fin_Analysis!C108="Profit",Fin_Analysis!F100,IF(Fin_Analysis!C108="Dividend",Fin_Analysis!F103,Fin_Analysis!F106))</f>
        <v>26.648055463372994</v>
      </c>
      <c r="G29" s="313">
        <f>IF(Fin_Analysis!C108="Profit",Fin_Analysis!I100,IF(Fin_Analysis!C108="Dividend",Fin_Analysis!I103,Fin_Analysis!I106))</f>
        <v>34.899807219786169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25418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38292</v>
      </c>
      <c r="D6" s="142">
        <f>IF(Inputs!D25="","",Inputs!D25)</f>
        <v>24836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0.54179416975358352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1323</v>
      </c>
      <c r="D8" s="144">
        <f>IF(Inputs!D26="","",Inputs!D26)</f>
        <v>1695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36969</v>
      </c>
      <c r="D9" s="273">
        <f t="shared" si="2"/>
        <v>23141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11551</v>
      </c>
      <c r="D10" s="144">
        <f>IF(Inputs!D27="","",Inputs!D27)</f>
        <v>10913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0.6637940039694975</v>
      </c>
      <c r="D13" s="292">
        <f t="shared" si="3"/>
        <v>0.49234981478498951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25418</v>
      </c>
      <c r="D14" s="294">
        <f t="shared" ref="D14:M14" si="4">IF(D6="","",D9-D10-MAX(D11,0)-MAX(D12,0))</f>
        <v>12228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1.0786719005561007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-12274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-46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19458</v>
      </c>
      <c r="D19" s="144">
        <f>IF(Inputs!D29="","",Inputs!D29)</f>
        <v>7659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5960</v>
      </c>
      <c r="D24" s="309">
        <f t="shared" si="9"/>
        <v>4569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0.1190692572861172</v>
      </c>
      <c r="D25" s="143">
        <f t="shared" si="10"/>
        <v>0.14073461910130455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4559.3999999999996</v>
      </c>
      <c r="D26" s="276">
        <f>IF(D6="","",D24*(1-Fin_Analysis!$I$84))</f>
        <v>3495.2849999999999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0.3044429853359597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3.4550297712315887E-2</v>
      </c>
      <c r="D42" s="150">
        <f t="shared" si="35"/>
        <v>6.8247704944435494E-2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0.30165569831818656</v>
      </c>
      <c r="D43" s="146">
        <f t="shared" si="36"/>
        <v>0.43940248027057499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0.50814791601378884</v>
      </c>
      <c r="D45" s="146">
        <f t="shared" si="38"/>
        <v>0.30838299243034306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0.15564608795570875</v>
      </c>
      <c r="D48" s="281">
        <f t="shared" si="41"/>
        <v>0.18396682235464648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3.2647651006711409</v>
      </c>
      <c r="D57" s="146">
        <f t="shared" si="48"/>
        <v>1.6762967826657913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252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253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254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38292</v>
      </c>
      <c r="D74" s="98"/>
      <c r="E74" s="256">
        <f>Inputs!E91</f>
        <v>38292</v>
      </c>
      <c r="F74" s="98"/>
      <c r="H74" s="256">
        <f>Inputs!F91</f>
        <v>38292</v>
      </c>
      <c r="I74" s="98"/>
      <c r="K74" s="75"/>
    </row>
    <row r="75" spans="1:11" ht="15" customHeight="1" x14ac:dyDescent="0.35">
      <c r="B75" s="100" t="s">
        <v>97</v>
      </c>
      <c r="C75" s="97">
        <f>Data!C8</f>
        <v>1323</v>
      </c>
      <c r="D75" s="101">
        <f>C75/$C$74</f>
        <v>3.4550297712315887E-2</v>
      </c>
      <c r="E75" s="256">
        <f>Inputs!E92</f>
        <v>1323</v>
      </c>
      <c r="F75" s="211">
        <f>E75/E74</f>
        <v>3.4550297712315887E-2</v>
      </c>
      <c r="H75" s="256">
        <f>Inputs!F92</f>
        <v>1323</v>
      </c>
      <c r="I75" s="211">
        <f>H75/$H$74</f>
        <v>3.4550297712315887E-2</v>
      </c>
      <c r="K75" s="75"/>
    </row>
    <row r="76" spans="1:11" ht="15" customHeight="1" x14ac:dyDescent="0.35">
      <c r="B76" s="12" t="s">
        <v>87</v>
      </c>
      <c r="C76" s="145">
        <f>C74-C75</f>
        <v>36969</v>
      </c>
      <c r="D76" s="212"/>
      <c r="E76" s="213">
        <f>E74-E75</f>
        <v>36969</v>
      </c>
      <c r="F76" s="212"/>
      <c r="H76" s="213">
        <f>H74-H75</f>
        <v>36969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11551</v>
      </c>
      <c r="D77" s="101">
        <f>C77/$C$74</f>
        <v>0.30165569831818656</v>
      </c>
      <c r="E77" s="256">
        <f>Inputs!E93</f>
        <v>11551</v>
      </c>
      <c r="F77" s="211">
        <f>E77/E74</f>
        <v>0.30165569831818656</v>
      </c>
      <c r="H77" s="256">
        <f>Inputs!F93</f>
        <v>11551</v>
      </c>
      <c r="I77" s="211">
        <f>H77/$H$74</f>
        <v>0.30165569831818656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25418</v>
      </c>
      <c r="D79" s="217">
        <f>C79/C74</f>
        <v>0.6637940039694975</v>
      </c>
      <c r="E79" s="218">
        <f>E76-E77-E78</f>
        <v>25418</v>
      </c>
      <c r="F79" s="217">
        <f>E79/E74</f>
        <v>0.6637940039694975</v>
      </c>
      <c r="G79" s="219"/>
      <c r="H79" s="218">
        <f>H76-H77-H78</f>
        <v>25418</v>
      </c>
      <c r="I79" s="217">
        <f>H79/H74</f>
        <v>0.6637940039694975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19458</v>
      </c>
      <c r="D81" s="101">
        <f>C81/$C$74</f>
        <v>0.50814791601378884</v>
      </c>
      <c r="E81" s="214">
        <f>E74*F81</f>
        <v>19458.000000000004</v>
      </c>
      <c r="F81" s="211">
        <f>I81</f>
        <v>0.50814791601378884</v>
      </c>
      <c r="H81" s="256">
        <f>Inputs!F94</f>
        <v>19458.000000000004</v>
      </c>
      <c r="I81" s="211">
        <f>H81/$H$74</f>
        <v>0.50814791601378884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5960</v>
      </c>
      <c r="D83" s="223">
        <f>C83/$C$74</f>
        <v>0.15564608795570875</v>
      </c>
      <c r="E83" s="224">
        <f>E79-E81-E82-E80</f>
        <v>5959.9999999999964</v>
      </c>
      <c r="F83" s="223">
        <f>E83/E74</f>
        <v>0.15564608795570867</v>
      </c>
      <c r="H83" s="224">
        <f>H79-H81-H82-H80</f>
        <v>5959.9999999999964</v>
      </c>
      <c r="I83" s="223">
        <f>H83/$H$74</f>
        <v>0.15564608795570867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0.23499999999999999</v>
      </c>
      <c r="E84" s="226"/>
      <c r="F84" s="227">
        <f t="shared" ref="F84" si="3">I84</f>
        <v>0.23499999999999999</v>
      </c>
      <c r="H84" s="226"/>
      <c r="I84" s="257">
        <f>Inputs!C16</f>
        <v>0.23499999999999999</v>
      </c>
      <c r="K84" s="75"/>
    </row>
    <row r="85" spans="1:11" ht="15" customHeight="1" x14ac:dyDescent="0.35">
      <c r="B85" s="228" t="s">
        <v>146</v>
      </c>
      <c r="C85" s="216">
        <f>C83*(1-I84)</f>
        <v>4559.3999999999996</v>
      </c>
      <c r="D85" s="217">
        <f>C85/$C$74</f>
        <v>0.1190692572861172</v>
      </c>
      <c r="E85" s="229">
        <f>E83*(1-F84)</f>
        <v>4559.3999999999969</v>
      </c>
      <c r="F85" s="217">
        <f>E85/E74</f>
        <v>0.11906925728611713</v>
      </c>
      <c r="G85" s="219"/>
      <c r="H85" s="229">
        <f>H83*(1-I84)</f>
        <v>4559.3999999999969</v>
      </c>
      <c r="I85" s="217">
        <f>H85/$H$74</f>
        <v>0.11906925728611713</v>
      </c>
      <c r="K85" s="75"/>
    </row>
    <row r="86" spans="1:11" ht="15" customHeight="1" x14ac:dyDescent="0.35">
      <c r="B86" s="3" t="s">
        <v>143</v>
      </c>
      <c r="C86" s="230">
        <f>C85*Data!C4/Common_Shares</f>
        <v>1.8574483512875708</v>
      </c>
      <c r="D86" s="98"/>
      <c r="E86" s="231">
        <f>E85*Data!C4/Common_Shares</f>
        <v>1.8574483512875697</v>
      </c>
      <c r="F86" s="98"/>
      <c r="H86" s="231">
        <f>H85*Data!C4/Common_Shares</f>
        <v>1.8574483512875697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0.14992562056941747</v>
      </c>
      <c r="D87" s="98"/>
      <c r="E87" s="233">
        <f>E86*Exchange_Rate/Dashboard!G3</f>
        <v>0.14992562056941738</v>
      </c>
      <c r="F87" s="98"/>
      <c r="H87" s="233">
        <f>H86*Exchange_Rate/Dashboard!G3</f>
        <v>0.14992562056941738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0.3</v>
      </c>
      <c r="D88" s="235">
        <f>C88/C86</f>
        <v>0.16151189334122912</v>
      </c>
      <c r="E88" s="255">
        <f>Inputs!E98</f>
        <v>0.3</v>
      </c>
      <c r="F88" s="235">
        <f>E88/E86</f>
        <v>0.1615118933412292</v>
      </c>
      <c r="H88" s="255">
        <f>Inputs!F98</f>
        <v>0.3</v>
      </c>
      <c r="I88" s="235">
        <f>H88/H86</f>
        <v>0.1615118933412292</v>
      </c>
      <c r="K88" s="75"/>
    </row>
    <row r="89" spans="1:11" ht="15" customHeight="1" x14ac:dyDescent="0.35">
      <c r="B89" s="3" t="s">
        <v>193</v>
      </c>
      <c r="C89" s="232">
        <f>C88*Exchange_Rate/Dashboard!G3</f>
        <v>2.4214770838525339E-2</v>
      </c>
      <c r="D89" s="98"/>
      <c r="E89" s="232">
        <f>E88*Exchange_Rate/Dashboard!G3</f>
        <v>2.4214770838525339E-2</v>
      </c>
      <c r="F89" s="98"/>
      <c r="H89" s="232">
        <f>H88*Exchange_Rate/Dashboard!G3</f>
        <v>2.4214770838525339E-2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HK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458.52945455445956</v>
      </c>
      <c r="H93" s="3" t="s">
        <v>182</v>
      </c>
      <c r="I93" s="237">
        <f>FV(H87,D93,0,-(H86/(C93-D94)))*Exchange_Rate</f>
        <v>458.52945455445956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46.607615555785998</v>
      </c>
      <c r="H94" s="3" t="s">
        <v>183</v>
      </c>
      <c r="I94" s="237">
        <f>FV(H89,D93,0,-(H88/(C93-D94)))*Exchange_Rate</f>
        <v>46.607615555785998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643527.07802960952</v>
      </c>
      <c r="D97" s="244"/>
      <c r="E97" s="245">
        <f>PV(C94,D93,0,-F93)</f>
        <v>262.16570384151555</v>
      </c>
      <c r="F97" s="244"/>
      <c r="H97" s="245">
        <f>PV(C94,D93,0,-I93)</f>
        <v>262.16570384151555</v>
      </c>
      <c r="I97" s="245">
        <f>PV(C93,D93,0,-I93)</f>
        <v>343.34709848845154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222.8408482652882</v>
      </c>
      <c r="E100" s="251">
        <f>MAX(E97+H98+E99,0)</f>
        <v>262.16570384151555</v>
      </c>
      <c r="F100" s="251">
        <f>(E100+H100)/2</f>
        <v>262.16570384151555</v>
      </c>
      <c r="H100" s="251">
        <f>MAX(H97+H98+H99,0)</f>
        <v>262.16570384151555</v>
      </c>
      <c r="I100" s="251">
        <f>MAX(I97+H98+H99,0)</f>
        <v>343.34709848845154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22.650847143867043</v>
      </c>
      <c r="E103" s="245">
        <f>PV(C94,D93,0,-F94)</f>
        <v>26.648055463372994</v>
      </c>
      <c r="F103" s="251">
        <f>(E103+H103)/2</f>
        <v>26.648055463372994</v>
      </c>
      <c r="H103" s="245">
        <f>PV(C94,D93,0,-I94)</f>
        <v>26.648055463372994</v>
      </c>
      <c r="I103" s="251">
        <f>PV(C93,D93,0,-I94)</f>
        <v>34.899807219786169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122.74584770457763</v>
      </c>
      <c r="E106" s="245">
        <f>(E100+E103)/2</f>
        <v>144.40687965244427</v>
      </c>
      <c r="F106" s="251">
        <f>(F100+F103)/2</f>
        <v>144.40687965244427</v>
      </c>
      <c r="H106" s="245">
        <f>(H100+H103)/2</f>
        <v>144.40687965244427</v>
      </c>
      <c r="I106" s="245">
        <f>(I100+I103)/2</f>
        <v>189.12345285411885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