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D25C0F-7941-4048-800F-4C1ABA892D4B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<sst xmlns="http://schemas.openxmlformats.org/spreadsheetml/2006/main" count="405" uniqueCount="290">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</sst>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25219845601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468444</v>
      </c>
      <c r="D25" s="77">
        <v>456752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8726</v>
      </c>
      <c r="D26" s="78">
        <v>9097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120991</v>
      </c>
      <c r="D27" s="78">
        <v>122061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160941</v>
      </c>
      <c r="D29" s="78">
        <v>135145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1282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1404</v>
      </c>
      <c r="D31" s="78">
        <v>1282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1.972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5.2908438561893693E-2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468444</v>
      </c>
      <c r="D91" s="98"/>
      <c r="E91" s="99">
        <f>C91</f>
        <v>468444</v>
      </c>
      <c r="F91" s="99">
        <f>C91</f>
        <v>468444</v>
      </c>
    </row>
    <row r="92" spans="2:8" x14ac:dyDescent="0.35">
      <c r="B92" s="100" t="s">
        <v>97</v>
      </c>
      <c r="C92" s="97">
        <f>C26</f>
        <v>8726</v>
      </c>
      <c r="D92" s="101">
        <f>C92/C91</f>
        <v>1.8627626781429586E-2</v>
      </c>
      <c r="E92" s="102">
        <f>E91*D92</f>
        <v>8726</v>
      </c>
      <c r="F92" s="102">
        <f>F91*D92</f>
        <v>8726</v>
      </c>
    </row>
    <row r="93" spans="2:8" x14ac:dyDescent="0.35">
      <c r="B93" s="100" t="s">
        <v>215</v>
      </c>
      <c r="C93" s="97">
        <f>C27+C28</f>
        <v>120991</v>
      </c>
      <c r="D93" s="101">
        <f>C93/C91</f>
        <v>0.25828274030620524</v>
      </c>
      <c r="E93" s="102">
        <f>E91*D93</f>
        <v>120991</v>
      </c>
      <c r="F93" s="102">
        <f>F91*D93</f>
        <v>120991</v>
      </c>
    </row>
    <row r="94" spans="2:8" x14ac:dyDescent="0.35">
      <c r="B94" s="100" t="s">
        <v>221</v>
      </c>
      <c r="C94" s="97">
        <f>C29</f>
        <v>160941</v>
      </c>
      <c r="D94" s="101">
        <f>C94/C91</f>
        <v>0.34356507928375646</v>
      </c>
      <c r="E94" s="103"/>
      <c r="F94" s="102">
        <f>F91*D94</f>
        <v>160941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1872</v>
      </c>
      <c r="D97" s="101">
        <f>C97/C91</f>
        <v>3.9962087250557162E-3</v>
      </c>
      <c r="E97" s="103"/>
      <c r="F97" s="102">
        <f>F91*D97</f>
        <v>1872</v>
      </c>
    </row>
    <row r="98" spans="2:6" x14ac:dyDescent="0.35">
      <c r="B98" s="8" t="s">
        <v>180</v>
      </c>
      <c r="C98" s="104">
        <f>C44</f>
        <v>1.972</v>
      </c>
      <c r="D98" s="105"/>
      <c r="E98" s="106">
        <f>F98</f>
        <v>1.972</v>
      </c>
      <c r="F98" s="106">
        <f>C98</f>
        <v>1.972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3968.HK : 招商银行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3968.HK</v>
      </c>
      <c r="D3" s="317"/>
      <c r="E3" s="3"/>
      <c r="F3" s="9" t="s">
        <v>1</v>
      </c>
      <c r="G3" s="10">
        <v>39.65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招商银行</v>
      </c>
      <c r="D4" s="319"/>
      <c r="E4" s="3"/>
      <c r="F4" s="9" t="s">
        <v>2</v>
      </c>
      <c r="G4" s="322">
        <f>Inputs!C10</f>
        <v>25219845601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4">
        <f>G3*G4/1000000</f>
        <v>999966.87807964999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0.71909342418730948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0.34356507928375646</v>
      </c>
      <c r="F24" s="39" t="s">
        <v>223</v>
      </c>
      <c r="G24" s="43">
        <f>G3/(Fin_Analysis!H86*G7)</f>
        <v>7.1246366725132013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0.37695340166347946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5.2908438561893693E-2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20.883672590253486</v>
      </c>
      <c r="D29" s="54">
        <f>G29*(1+G20)</f>
        <v>36.323035061646095</v>
      </c>
      <c r="E29" s="3"/>
      <c r="F29" s="55">
        <f>IF(Fin_Analysis!C108="Profit",Fin_Analysis!F100,IF(Fin_Analysis!C108="Dividend",Fin_Analysis!F103,Fin_Analysis!F106))</f>
        <v>24.569026576768806</v>
      </c>
      <c r="G29" s="313">
        <f>IF(Fin_Analysis!C108="Profit",Fin_Analysis!I100,IF(Fin_Analysis!C108="Dividend",Fin_Analysis!I103,Fin_Analysis!I106))</f>
        <v>31.585247879692258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336855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468444</v>
      </c>
      <c r="D6" s="142">
        <f>IF(Inputs!D25="","",Inputs!D25)</f>
        <v>456752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2.5598136406627559E-2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8726</v>
      </c>
      <c r="D8" s="144">
        <f>IF(Inputs!D26="","",Inputs!D26)</f>
        <v>9097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459718</v>
      </c>
      <c r="D9" s="273">
        <f t="shared" si="2"/>
        <v>447655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120991</v>
      </c>
      <c r="D10" s="144">
        <f>IF(Inputs!D27="","",Inputs!D27)</f>
        <v>122061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1872</v>
      </c>
      <c r="D12" s="144">
        <f>IF(Inputs!D31="","",MAX(Inputs!D31,0)/(1-Fin_Analysis!$I$84))</f>
        <v>1709.3333333333333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0.71909342418730948</v>
      </c>
      <c r="D13" s="292">
        <f t="shared" si="3"/>
        <v>0.70910399224670428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336855</v>
      </c>
      <c r="D14" s="294">
        <f t="shared" ref="D14:M14" si="4">IF(D6="","",D9-D10-MAX(D11,0)-MAX(D12,0))</f>
        <v>323884.66666666669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4.0046148114452201E-2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-322602.66666666669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1282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160941</v>
      </c>
      <c r="D19" s="144">
        <f>IF(Inputs!D29="","",Inputs!D29)</f>
        <v>135145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175914</v>
      </c>
      <c r="D24" s="309">
        <f t="shared" si="9"/>
        <v>188739.66666666669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0.2816462586776648</v>
      </c>
      <c r="D25" s="143">
        <f t="shared" si="10"/>
        <v>0.30991599379969875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131935.5</v>
      </c>
      <c r="D26" s="276">
        <f>IF(D6="","",D24*(1-Fin_Analysis!$I$84))</f>
        <v>141554.75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-6.7954272110261227E-2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1.8627626781429586E-2</v>
      </c>
      <c r="D42" s="150">
        <f t="shared" si="35"/>
        <v>1.9916716292430029E-2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0.25828274030620524</v>
      </c>
      <c r="D43" s="146">
        <f t="shared" si="36"/>
        <v>0.26723692507093566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0.34356507928375646</v>
      </c>
      <c r="D45" s="146">
        <f t="shared" si="38"/>
        <v>0.29588266718043926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3.9962087250557162E-3</v>
      </c>
      <c r="D46" s="146">
        <f t="shared" si="39"/>
        <v>3.7423663899300566E-3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0.37552834490355302</v>
      </c>
      <c r="D48" s="281">
        <f t="shared" si="41"/>
        <v>0.41322132506626502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0.91488454585763501</v>
      </c>
      <c r="D57" s="146">
        <f t="shared" si="48"/>
        <v>0.71603920038006486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468444</v>
      </c>
      <c r="D74" s="98"/>
      <c r="E74" s="256">
        <f>Inputs!E91</f>
        <v>468444</v>
      </c>
      <c r="F74" s="98"/>
      <c r="H74" s="256">
        <f>Inputs!F91</f>
        <v>468444</v>
      </c>
      <c r="I74" s="98"/>
      <c r="K74" s="75"/>
    </row>
    <row r="75" spans="1:11" ht="15" customHeight="1" x14ac:dyDescent="0.35">
      <c r="B75" s="100" t="s">
        <v>97</v>
      </c>
      <c r="C75" s="97">
        <f>Data!C8</f>
        <v>8726</v>
      </c>
      <c r="D75" s="101">
        <f>C75/$C$74</f>
        <v>1.8627626781429586E-2</v>
      </c>
      <c r="E75" s="256">
        <f>Inputs!E92</f>
        <v>8726</v>
      </c>
      <c r="F75" s="211">
        <f>E75/E74</f>
        <v>1.8627626781429586E-2</v>
      </c>
      <c r="H75" s="256">
        <f>Inputs!F92</f>
        <v>8726</v>
      </c>
      <c r="I75" s="211">
        <f>H75/$H$74</f>
        <v>1.8627626781429586E-2</v>
      </c>
      <c r="K75" s="75"/>
    </row>
    <row r="76" spans="1:11" ht="15" customHeight="1" x14ac:dyDescent="0.35">
      <c r="B76" s="12" t="s">
        <v>87</v>
      </c>
      <c r="C76" s="145">
        <f>C74-C75</f>
        <v>459718</v>
      </c>
      <c r="D76" s="212"/>
      <c r="E76" s="213">
        <f>E74-E75</f>
        <v>459718</v>
      </c>
      <c r="F76" s="212"/>
      <c r="H76" s="213">
        <f>H74-H75</f>
        <v>459718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120991</v>
      </c>
      <c r="D77" s="101">
        <f>C77/$C$74</f>
        <v>0.25828274030620524</v>
      </c>
      <c r="E77" s="256">
        <f>Inputs!E93</f>
        <v>120991</v>
      </c>
      <c r="F77" s="211">
        <f>E77/E74</f>
        <v>0.25828274030620524</v>
      </c>
      <c r="H77" s="256">
        <f>Inputs!F93</f>
        <v>120991</v>
      </c>
      <c r="I77" s="211">
        <f>H77/$H$74</f>
        <v>0.25828274030620524</v>
      </c>
      <c r="K77" s="75"/>
    </row>
    <row r="78" spans="1:11" ht="15" customHeight="1" x14ac:dyDescent="0.35">
      <c r="B78" s="93" t="s">
        <v>150</v>
      </c>
      <c r="C78" s="97">
        <f>MAX(Data!C12,0)</f>
        <v>1872</v>
      </c>
      <c r="D78" s="101">
        <f>C78/$C$74</f>
        <v>3.9962087250557162E-3</v>
      </c>
      <c r="E78" s="214">
        <f>E74*F78</f>
        <v>1872</v>
      </c>
      <c r="F78" s="211">
        <f>I78</f>
        <v>3.9962087250557162E-3</v>
      </c>
      <c r="H78" s="256">
        <f>Inputs!F97</f>
        <v>1872</v>
      </c>
      <c r="I78" s="211">
        <f>H78/$H$74</f>
        <v>3.9962087250557162E-3</v>
      </c>
      <c r="K78" s="75"/>
    </row>
    <row r="79" spans="1:11" ht="15" customHeight="1" x14ac:dyDescent="0.35">
      <c r="B79" s="215" t="s">
        <v>203</v>
      </c>
      <c r="C79" s="216">
        <f>C76-C77-C78</f>
        <v>336855</v>
      </c>
      <c r="D79" s="217">
        <f>C79/C74</f>
        <v>0.71909342418730948</v>
      </c>
      <c r="E79" s="218">
        <f>E76-E77-E78</f>
        <v>336855</v>
      </c>
      <c r="F79" s="217">
        <f>E79/E74</f>
        <v>0.71909342418730948</v>
      </c>
      <c r="G79" s="219"/>
      <c r="H79" s="218">
        <f>H76-H77-H78</f>
        <v>336855</v>
      </c>
      <c r="I79" s="217">
        <f>H79/H74</f>
        <v>0.71909342418730948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160941</v>
      </c>
      <c r="D81" s="101">
        <f>C81/$C$74</f>
        <v>0.34356507928375646</v>
      </c>
      <c r="E81" s="214">
        <f>E74*F81</f>
        <v>160941</v>
      </c>
      <c r="F81" s="211">
        <f>I81</f>
        <v>0.34356507928375646</v>
      </c>
      <c r="H81" s="256">
        <f>Inputs!F94</f>
        <v>160941</v>
      </c>
      <c r="I81" s="211">
        <f>H81/$H$74</f>
        <v>0.34356507928375646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175914</v>
      </c>
      <c r="D83" s="223">
        <f>C83/$C$74</f>
        <v>0.37552834490355302</v>
      </c>
      <c r="E83" s="224">
        <f>E79-E81-E82-E80</f>
        <v>175914</v>
      </c>
      <c r="F83" s="223">
        <f>E83/E74</f>
        <v>0.37552834490355302</v>
      </c>
      <c r="H83" s="224">
        <f>H79-H81-H82-H80</f>
        <v>175914</v>
      </c>
      <c r="I83" s="223">
        <f>H83/$H$74</f>
        <v>0.37552834490355302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131935.5</v>
      </c>
      <c r="D85" s="217">
        <f>C85/$C$74</f>
        <v>0.2816462586776648</v>
      </c>
      <c r="E85" s="229">
        <f>E83*(1-F84)</f>
        <v>131935.5</v>
      </c>
      <c r="F85" s="217">
        <f>E85/E74</f>
        <v>0.2816462586776648</v>
      </c>
      <c r="G85" s="219"/>
      <c r="H85" s="229">
        <f>H83*(1-I84)</f>
        <v>131935.5</v>
      </c>
      <c r="I85" s="217">
        <f>H85/$H$74</f>
        <v>0.2816462586776648</v>
      </c>
      <c r="K85" s="75"/>
    </row>
    <row r="86" spans="1:11" ht="15" customHeight="1" x14ac:dyDescent="0.35">
      <c r="B86" s="3" t="s">
        <v>143</v>
      </c>
      <c r="C86" s="230">
        <f>C85*Data!C4/Common_Shares</f>
        <v>5.2314158495390863</v>
      </c>
      <c r="D86" s="98"/>
      <c r="E86" s="231">
        <f>E85*Data!C4/Common_Shares</f>
        <v>5.2314158495390863</v>
      </c>
      <c r="F86" s="98"/>
      <c r="H86" s="231">
        <f>H85*Data!C4/Common_Shares</f>
        <v>5.2314158495390863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0.14035803451676251</v>
      </c>
      <c r="D87" s="98"/>
      <c r="E87" s="233">
        <f>E86*Exchange_Rate/Dashboard!G3</f>
        <v>0.14035803451676251</v>
      </c>
      <c r="F87" s="98"/>
      <c r="H87" s="233">
        <f>H86*Exchange_Rate/Dashboard!G3</f>
        <v>0.14035803451676251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1.972</v>
      </c>
      <c r="D88" s="235">
        <f>C88/C86</f>
        <v>0.37695340166347946</v>
      </c>
      <c r="E88" s="255">
        <f>Inputs!E98</f>
        <v>1.972</v>
      </c>
      <c r="F88" s="235">
        <f>E88/E86</f>
        <v>0.37695340166347946</v>
      </c>
      <c r="H88" s="255">
        <f>Inputs!F98</f>
        <v>1.972</v>
      </c>
      <c r="I88" s="235">
        <f>H88/H86</f>
        <v>0.37695340166347946</v>
      </c>
      <c r="K88" s="75"/>
    </row>
    <row r="89" spans="1:11" ht="15" customHeight="1" x14ac:dyDescent="0.35">
      <c r="B89" s="3" t="s">
        <v>193</v>
      </c>
      <c r="C89" s="232">
        <f>C88*Exchange_Rate/Dashboard!G3</f>
        <v>5.2908438561893693E-2</v>
      </c>
      <c r="D89" s="98"/>
      <c r="E89" s="232">
        <f>E88*Exchange_Rate/Dashboard!G3</f>
        <v>5.2908438561893693E-2</v>
      </c>
      <c r="F89" s="98"/>
      <c r="H89" s="232">
        <f>H88*Exchange_Rate/Dashboard!G3</f>
        <v>5.2908438561893693E-2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156.85346838966672</v>
      </c>
      <c r="H93" s="3" t="s">
        <v>182</v>
      </c>
      <c r="I93" s="237">
        <f>FV(H87,D93,0,-(H86/(C93-D94)))*Exchange_Rate</f>
        <v>156.85346838966672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42.971381039184735</v>
      </c>
      <c r="H94" s="3" t="s">
        <v>183</v>
      </c>
      <c r="I94" s="237">
        <f>FV(H89,D93,0,-(H88/(C93-D94)))*Exchange_Rate</f>
        <v>42.971381039184735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2261753.0696466807</v>
      </c>
      <c r="D97" s="244"/>
      <c r="E97" s="245">
        <f>PV(C94,D93,0,-F93)</f>
        <v>89.681479634316204</v>
      </c>
      <c r="F97" s="244"/>
      <c r="H97" s="245">
        <f>PV(C94,D93,0,-I93)</f>
        <v>89.681479634316204</v>
      </c>
      <c r="I97" s="245">
        <f>PV(C93,D93,0,-I93)</f>
        <v>115.29198178106986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76.229257689168776</v>
      </c>
      <c r="E100" s="251">
        <f>MAX(E97+H98+E99,0)</f>
        <v>89.681479634316204</v>
      </c>
      <c r="F100" s="251">
        <f>(E100+H100)/2</f>
        <v>89.681479634316204</v>
      </c>
      <c r="H100" s="251">
        <f>MAX(H97+H98+H99,0)</f>
        <v>89.681479634316204</v>
      </c>
      <c r="I100" s="251">
        <f>MAX(I97+H98+H99,0)</f>
        <v>115.29198178106986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20.883672590253486</v>
      </c>
      <c r="E103" s="245">
        <f>PV(C94,D93,0,-F94)</f>
        <v>24.569026576768806</v>
      </c>
      <c r="F103" s="251">
        <f>(E103+H103)/2</f>
        <v>24.569026576768806</v>
      </c>
      <c r="H103" s="245">
        <f>PV(C94,D93,0,-I94)</f>
        <v>24.569026576768806</v>
      </c>
      <c r="I103" s="251">
        <f>PV(C93,D93,0,-I94)</f>
        <v>31.585247879692258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48.556465139711129</v>
      </c>
      <c r="E106" s="245">
        <f>(E100+E103)/2</f>
        <v>57.125253105542505</v>
      </c>
      <c r="F106" s="251">
        <f>(F100+F103)/2</f>
        <v>57.125253105542505</v>
      </c>
      <c r="H106" s="245">
        <f>(H100+H103)/2</f>
        <v>57.125253105542505</v>
      </c>
      <c r="I106" s="245">
        <f>(I100+I103)/2</f>
        <v>73.438614830381056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