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E7FA6A-FF79-4E6E-829C-2277AF36A681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93" i="4" l="1"/>
  <c r="F93" i="4"/>
  <c r="F94" i="4"/>
  <c r="E95" i="4"/>
  <c r="F95" i="4"/>
  <c r="F96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<sst xmlns="http://schemas.openxmlformats.org/spreadsheetml/2006/main" count="405" uniqueCount="290">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</sst>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294387791241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1141220</v>
      </c>
      <c r="D25" s="77">
        <v>967950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13504</v>
      </c>
      <c r="D26" s="78">
        <v>12212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222933</v>
      </c>
      <c r="D27" s="78">
        <v>199506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582306</v>
      </c>
      <c r="D29" s="78">
        <v>421582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31128291</v>
      </c>
      <c r="D37" s="78">
        <v>26330247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2778976</v>
      </c>
      <c r="D41" s="302">
        <v>2563301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130155</v>
      </c>
      <c r="D42" s="78">
        <v>139328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0.2364</v>
      </c>
      <c r="D44" s="81">
        <v>0.23200000000000001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6.3828182220458982E-2</v>
      </c>
      <c r="D45" s="82">
        <f>IF(D44="","",D44*Exchange_Rate/Dashboard!$G$3)</f>
        <v>6.2640178828876833E-2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1141220</v>
      </c>
      <c r="D91" s="98"/>
      <c r="E91" s="99">
        <f>C91</f>
        <v>1141220</v>
      </c>
      <c r="F91" s="99">
        <f>C91</f>
        <v>1141220</v>
      </c>
    </row>
    <row r="92" spans="2:8" x14ac:dyDescent="0.35">
      <c r="B92" s="100" t="s">
        <v>97</v>
      </c>
      <c r="C92" s="97">
        <f>C26</f>
        <v>13504</v>
      </c>
      <c r="D92" s="101">
        <f>C92/C91</f>
        <v>1.1832950701880444E-2</v>
      </c>
      <c r="E92" s="102">
        <f>E91*D92</f>
        <v>13504</v>
      </c>
      <c r="F92" s="102">
        <f>F91*D92</f>
        <v>13504</v>
      </c>
    </row>
    <row r="93" spans="2:8" x14ac:dyDescent="0.35">
      <c r="B93" s="100" t="s">
        <v>215</v>
      </c>
      <c r="C93" s="97">
        <f>C27+C28</f>
        <v>222933</v>
      </c>
      <c r="D93" s="101">
        <f>C93/C91</f>
        <v>0.19534620844359546</v>
      </c>
      <c r="E93" s="102">
        <f>E91*D93</f>
        <v>222933</v>
      </c>
      <c r="F93" s="102">
        <f>F91*D93</f>
        <v>222933</v>
      </c>
    </row>
    <row r="94" spans="2:8" x14ac:dyDescent="0.35">
      <c r="B94" s="100" t="s">
        <v>221</v>
      </c>
      <c r="C94" s="97">
        <f>C29</f>
        <v>582306</v>
      </c>
      <c r="D94" s="101">
        <f>C94/C91</f>
        <v>0.51024868123587042</v>
      </c>
      <c r="E94" s="103"/>
      <c r="F94" s="102">
        <f>F91*D94</f>
        <v>582306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0.2364</v>
      </c>
      <c r="D98" s="105"/>
      <c r="E98" s="106">
        <f>F98</f>
        <v>0.3</v>
      </c>
      <c r="F98" s="106">
        <v>0.3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3988.HK : 中国银行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3988.HK</v>
      </c>
      <c r="D3" s="317"/>
      <c r="E3" s="3"/>
      <c r="F3" s="9" t="s">
        <v>1</v>
      </c>
      <c r="G3" s="10">
        <v>3.94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中国银行</v>
      </c>
      <c r="D4" s="319"/>
      <c r="E4" s="3"/>
      <c r="F4" s="9" t="s">
        <v>2</v>
      </c>
      <c r="G4" s="322">
        <f>Inputs!C10</f>
        <v>294387791241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4">
        <f>G3*G4/1000000</f>
        <v>1159887.89748954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0.34157951783076312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0.79282084085452409</v>
      </c>
      <c r="F21" s="3"/>
      <c r="G21" s="34"/>
    </row>
    <row r="22" spans="1:8" ht="15.75" customHeight="1" x14ac:dyDescent="0.35">
      <c r="B22" s="35" t="s">
        <v>243</v>
      </c>
      <c r="C22" s="36">
        <f>Data!C50</f>
        <v>3.365709185585497E-2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12.800890282884346</v>
      </c>
      <c r="F23" s="39" t="s">
        <v>163</v>
      </c>
      <c r="G23" s="40">
        <f>G3/(Data!C36*Data!C4/Common_Shares*Exchange_Rate)</f>
        <v>0.39234669173821385</v>
      </c>
    </row>
    <row r="24" spans="1:8" ht="15.75" customHeight="1" x14ac:dyDescent="0.35">
      <c r="B24" s="41" t="s">
        <v>238</v>
      </c>
      <c r="C24" s="42">
        <f>Fin_Analysis!I81</f>
        <v>0.51024868123587042</v>
      </c>
      <c r="F24" s="39" t="s">
        <v>223</v>
      </c>
      <c r="G24" s="43">
        <f>G3/(Fin_Analysis!H86*G7)</f>
        <v>4.508112888753387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0.36515818646415088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8.1000231244237275E-2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3.5298962582685358</v>
      </c>
      <c r="D29" s="54">
        <f>G29*(1+G20)</f>
        <v>6.1395592656868541</v>
      </c>
      <c r="E29" s="3"/>
      <c r="F29" s="55">
        <f>IF(Fin_Analysis!C108="Profit",Fin_Analysis!F100,IF(Fin_Analysis!C108="Dividend",Fin_Analysis!F103,Fin_Analysis!F106))</f>
        <v>4.1528191273747481</v>
      </c>
      <c r="G29" s="313">
        <f>IF(Fin_Analysis!C108="Profit",Fin_Analysis!I100,IF(Fin_Analysis!C108="Dividend",Fin_Analysis!I103,Fin_Analysis!I106))</f>
        <v>5.3387471875537864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904783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1141220</v>
      </c>
      <c r="D6" s="142">
        <f>IF(Inputs!D25="","",Inputs!D25)</f>
        <v>967950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0.17900718012294026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13504</v>
      </c>
      <c r="D8" s="144">
        <f>IF(Inputs!D26="","",Inputs!D26)</f>
        <v>12212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1127716</v>
      </c>
      <c r="D9" s="273">
        <f t="shared" si="2"/>
        <v>955738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222933</v>
      </c>
      <c r="D10" s="144">
        <f>IF(Inputs!D27="","",Inputs!D27)</f>
        <v>199506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0.79282084085452409</v>
      </c>
      <c r="D13" s="292">
        <f t="shared" si="3"/>
        <v>0.78127175990495379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904783</v>
      </c>
      <c r="D14" s="294">
        <f t="shared" ref="D14:M14" si="4">IF(D6="","",D9-D10-MAX(D11,0)-MAX(D12,0))</f>
        <v>756232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0.19643574987569953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582306</v>
      </c>
      <c r="D19" s="144">
        <f>IF(Inputs!D29="","",Inputs!D29)</f>
        <v>421582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322477</v>
      </c>
      <c r="D24" s="309">
        <f t="shared" si="9"/>
        <v>334650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0.21192911971399028</v>
      </c>
      <c r="D25" s="143">
        <f t="shared" si="10"/>
        <v>0.2592980009298001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241857.75</v>
      </c>
      <c r="D26" s="276">
        <f>IF(D6="","",D24*(1-Fin_Analysis!$I$84))</f>
        <v>250987.5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-3.6375317495891228E-2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33907267</v>
      </c>
      <c r="D29" s="147">
        <f>IF(D36="","",D36+D32)</f>
        <v>28893548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31128291</v>
      </c>
      <c r="D32" s="144">
        <f>IF(Inputs!D37="","",Inputs!D37)</f>
        <v>26330247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2778976</v>
      </c>
      <c r="D36" s="144">
        <f>IF(Inputs!D41="","",Inputs!D41)</f>
        <v>2563301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130155</v>
      </c>
      <c r="D37" s="144">
        <f>IF(Inputs!D42="","",Inputs!D42)</f>
        <v>139328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33907267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2.6684043865876892E-2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1.1832950701880444E-2</v>
      </c>
      <c r="D42" s="150">
        <f t="shared" si="35"/>
        <v>1.2616354150524305E-2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0.19534620844359546</v>
      </c>
      <c r="D43" s="146">
        <f t="shared" si="36"/>
        <v>0.20611188594452193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0.51024868123587042</v>
      </c>
      <c r="D45" s="146">
        <f t="shared" si="38"/>
        <v>0.43554109199855362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0.28257215961865373</v>
      </c>
      <c r="D48" s="281">
        <f t="shared" si="41"/>
        <v>0.34573066790640011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3.365709185585497E-2</v>
      </c>
      <c r="D50" s="153">
        <f t="shared" si="42"/>
        <v>3.3500558671437648E-2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7.8119566522421288E-2</v>
      </c>
      <c r="D55" s="150">
        <f t="shared" si="46"/>
        <v>8.3893227650685201E-2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1.8057287806572251</v>
      </c>
      <c r="D57" s="146">
        <f t="shared" si="48"/>
        <v>1.259769908860003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0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0.34157951783076318</v>
      </c>
      <c r="D60" s="156">
        <f t="shared" si="50"/>
        <v>0.31198037271867302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0.12174359837829736</v>
      </c>
      <c r="D61" s="156">
        <f t="shared" si="51"/>
        <v>0.13805846847303993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2778976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2648821</v>
      </c>
      <c r="K3" s="75"/>
    </row>
    <row r="4" spans="1:11" ht="15" customHeight="1" x14ac:dyDescent="0.35">
      <c r="B4" s="9" t="s">
        <v>21</v>
      </c>
      <c r="C4" s="3"/>
      <c r="D4" s="144">
        <f>Inputs!C42</f>
        <v>130155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-31258446</v>
      </c>
      <c r="E6" s="170">
        <f>1-D6/D3</f>
        <v>12.248188541390785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31128291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31128291</v>
      </c>
      <c r="J48" s="187"/>
    </row>
    <row r="49" spans="2:11" ht="15" customHeight="1" thickTop="1" x14ac:dyDescent="0.35">
      <c r="B49" s="9" t="s">
        <v>13</v>
      </c>
      <c r="C49" s="184">
        <f>Inputs!C41+Inputs!C37</f>
        <v>33907267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31128291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130155</v>
      </c>
      <c r="D53" s="34">
        <f>IF(E53=0, 0,E53/C53)</f>
        <v>1</v>
      </c>
      <c r="E53" s="176">
        <f>IF(C53=0,0,MAX(C53,C53*Dashboard!G23))</f>
        <v>130155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-112.4855428381161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-112.4855428381161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-112.4855428381161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33907267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31128291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2778976</v>
      </c>
      <c r="D70" s="34">
        <f t="shared" si="2"/>
        <v>-11.201352944393907</v>
      </c>
      <c r="E70" s="202">
        <f>E68-E69</f>
        <v>-31128291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1141220</v>
      </c>
      <c r="D74" s="98"/>
      <c r="E74" s="256">
        <f>Inputs!E91</f>
        <v>1141220</v>
      </c>
      <c r="F74" s="98"/>
      <c r="H74" s="256">
        <f>Inputs!F91</f>
        <v>1141220</v>
      </c>
      <c r="I74" s="98"/>
      <c r="K74" s="75"/>
    </row>
    <row r="75" spans="1:11" ht="15" customHeight="1" x14ac:dyDescent="0.35">
      <c r="B75" s="100" t="s">
        <v>97</v>
      </c>
      <c r="C75" s="97">
        <f>Data!C8</f>
        <v>13504</v>
      </c>
      <c r="D75" s="101">
        <f>C75/$C$74</f>
        <v>1.1832950701880444E-2</v>
      </c>
      <c r="E75" s="256">
        <f>Inputs!E92</f>
        <v>13504</v>
      </c>
      <c r="F75" s="211">
        <f>E75/E74</f>
        <v>1.1832950701880444E-2</v>
      </c>
      <c r="H75" s="256">
        <f>Inputs!F92</f>
        <v>13504</v>
      </c>
      <c r="I75" s="211">
        <f>H75/$H$74</f>
        <v>1.1832950701880444E-2</v>
      </c>
      <c r="K75" s="75"/>
    </row>
    <row r="76" spans="1:11" ht="15" customHeight="1" x14ac:dyDescent="0.35">
      <c r="B76" s="12" t="s">
        <v>87</v>
      </c>
      <c r="C76" s="145">
        <f>C74-C75</f>
        <v>1127716</v>
      </c>
      <c r="D76" s="212"/>
      <c r="E76" s="213">
        <f>E74-E75</f>
        <v>1127716</v>
      </c>
      <c r="F76" s="212"/>
      <c r="H76" s="213">
        <f>H74-H75</f>
        <v>1127716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222933</v>
      </c>
      <c r="D77" s="101">
        <f>C77/$C$74</f>
        <v>0.19534620844359546</v>
      </c>
      <c r="E77" s="256">
        <f>Inputs!E93</f>
        <v>222933</v>
      </c>
      <c r="F77" s="211">
        <f>E77/E74</f>
        <v>0.19534620844359546</v>
      </c>
      <c r="H77" s="256">
        <f>Inputs!F93</f>
        <v>222933</v>
      </c>
      <c r="I77" s="211">
        <f>H77/$H$74</f>
        <v>0.19534620844359546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904783</v>
      </c>
      <c r="D79" s="217">
        <f>C79/C74</f>
        <v>0.79282084085452409</v>
      </c>
      <c r="E79" s="218">
        <f>E76-E77-E78</f>
        <v>904783</v>
      </c>
      <c r="F79" s="217">
        <f>E79/E74</f>
        <v>0.79282084085452409</v>
      </c>
      <c r="G79" s="219"/>
      <c r="H79" s="218">
        <f>H76-H77-H78</f>
        <v>904783</v>
      </c>
      <c r="I79" s="217">
        <f>H79/H74</f>
        <v>0.79282084085452409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582306</v>
      </c>
      <c r="D81" s="101">
        <f>C81/$C$74</f>
        <v>0.51024868123587042</v>
      </c>
      <c r="E81" s="214">
        <f>E74*F81</f>
        <v>582306</v>
      </c>
      <c r="F81" s="211">
        <f>I81</f>
        <v>0.51024868123587042</v>
      </c>
      <c r="H81" s="256">
        <f>Inputs!F94</f>
        <v>582306</v>
      </c>
      <c r="I81" s="211">
        <f>H81/$H$74</f>
        <v>0.51024868123587042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322477</v>
      </c>
      <c r="D83" s="223">
        <f>C83/$C$74</f>
        <v>0.28257215961865373</v>
      </c>
      <c r="E83" s="224">
        <f>E79-E81-E82-E80</f>
        <v>322477</v>
      </c>
      <c r="F83" s="223">
        <f>E83/E74</f>
        <v>0.28257215961865373</v>
      </c>
      <c r="H83" s="224">
        <f>H79-H81-H82-H80</f>
        <v>322477</v>
      </c>
      <c r="I83" s="223">
        <f>H83/$H$74</f>
        <v>0.28257215961865373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241857.75</v>
      </c>
      <c r="D85" s="217">
        <f>C85/$C$74</f>
        <v>0.21192911971399028</v>
      </c>
      <c r="E85" s="229">
        <f>E83*(1-F84)</f>
        <v>241857.75</v>
      </c>
      <c r="F85" s="217">
        <f>E85/E74</f>
        <v>0.21192911971399028</v>
      </c>
      <c r="G85" s="219"/>
      <c r="H85" s="229">
        <f>H83*(1-I84)</f>
        <v>241857.75</v>
      </c>
      <c r="I85" s="217">
        <f>H85/$H$74</f>
        <v>0.21192911971399028</v>
      </c>
      <c r="K85" s="75"/>
    </row>
    <row r="86" spans="1:11" ht="15" customHeight="1" x14ac:dyDescent="0.35">
      <c r="B86" s="3" t="s">
        <v>143</v>
      </c>
      <c r="C86" s="230">
        <f>C85*Data!C4/Common_Shares</f>
        <v>0.82156175356471772</v>
      </c>
      <c r="D86" s="98"/>
      <c r="E86" s="231">
        <f>E85*Data!C4/Common_Shares</f>
        <v>0.82156175356471772</v>
      </c>
      <c r="F86" s="98"/>
      <c r="H86" s="231">
        <f>H85*Data!C4/Common_Shares</f>
        <v>0.82156175356471772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0.22182230673387743</v>
      </c>
      <c r="D87" s="98"/>
      <c r="E87" s="233">
        <f>E86*Exchange_Rate/Dashboard!G3</f>
        <v>0.22182230673387743</v>
      </c>
      <c r="F87" s="98"/>
      <c r="H87" s="233">
        <f>H86*Exchange_Rate/Dashboard!G3</f>
        <v>0.22182230673387743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0.2364</v>
      </c>
      <c r="D88" s="235">
        <f>C88/C86</f>
        <v>0.2877446509337509</v>
      </c>
      <c r="E88" s="255">
        <f>Inputs!E98</f>
        <v>0.3</v>
      </c>
      <c r="F88" s="235">
        <f>E88/E86</f>
        <v>0.36515818646415088</v>
      </c>
      <c r="H88" s="255">
        <f>Inputs!F98</f>
        <v>0.3</v>
      </c>
      <c r="I88" s="235">
        <f>H88/H86</f>
        <v>0.36515818646415088</v>
      </c>
      <c r="K88" s="75"/>
    </row>
    <row r="89" spans="1:11" ht="15" customHeight="1" x14ac:dyDescent="0.35">
      <c r="B89" s="3" t="s">
        <v>193</v>
      </c>
      <c r="C89" s="232">
        <f>C88*Exchange_Rate/Dashboard!G3</f>
        <v>6.3828182220458982E-2</v>
      </c>
      <c r="D89" s="98"/>
      <c r="E89" s="232">
        <f>E88*Exchange_Rate/Dashboard!G3</f>
        <v>8.1000231244237275E-2</v>
      </c>
      <c r="F89" s="98"/>
      <c r="H89" s="232">
        <f>H88*Exchange_Rate/Dashboard!G3</f>
        <v>8.1000231244237275E-2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32.46253177100877</v>
      </c>
      <c r="H93" s="3" t="s">
        <v>182</v>
      </c>
      <c r="I93" s="237">
        <f>FV(H87,D93,0,-(H86/(C93-D94)))*Exchange_Rate</f>
        <v>32.46253177100877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7.2633066088979774</v>
      </c>
      <c r="H94" s="3" t="s">
        <v>183</v>
      </c>
      <c r="I94" s="237">
        <f>FV(H89,D93,0,-(H88/(C93-D94)))*Exchange_Rate</f>
        <v>7.2633066088979774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5464001.6444527069</v>
      </c>
      <c r="D97" s="244"/>
      <c r="E97" s="245">
        <f>PV(C94,D93,0,-F93)</f>
        <v>18.560557900241225</v>
      </c>
      <c r="F97" s="244"/>
      <c r="H97" s="245">
        <f>PV(C94,D93,0,-I93)</f>
        <v>18.560557900241225</v>
      </c>
      <c r="I97" s="245">
        <f>PV(C93,D93,0,-I93)</f>
        <v>23.860929949044763</v>
      </c>
      <c r="K97" s="75"/>
    </row>
    <row r="98" spans="2:11" ht="15" customHeight="1" x14ac:dyDescent="0.35">
      <c r="B98" s="18" t="s">
        <v>132</v>
      </c>
      <c r="C98" s="243">
        <f>-E53*Exchange_Rate</f>
        <v>-138459.28428173065</v>
      </c>
      <c r="D98" s="244"/>
      <c r="E98" s="244"/>
      <c r="F98" s="244"/>
      <c r="H98" s="245">
        <f>C98*Data!$C$4/Common_Shares</f>
        <v>-0.4703295734447806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-33114370.502657887</v>
      </c>
      <c r="D99" s="248"/>
      <c r="E99" s="249">
        <f>IF(H99&gt;0,I64,H99)</f>
        <v>-112.4855428381161</v>
      </c>
      <c r="F99" s="248"/>
      <c r="H99" s="249">
        <f>I64</f>
        <v>-112.4855428381161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3.5298962582685358</v>
      </c>
      <c r="E103" s="245">
        <f>PV(C94,D93,0,-F94)</f>
        <v>4.1528191273747481</v>
      </c>
      <c r="F103" s="251">
        <f>(E103+H103)/2</f>
        <v>4.1528191273747481</v>
      </c>
      <c r="H103" s="245">
        <f>PV(C94,D93,0,-I94)</f>
        <v>4.1528191273747481</v>
      </c>
      <c r="I103" s="251">
        <f>PV(C93,D93,0,-I94)</f>
        <v>5.3387471875537864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1.7649481291342679</v>
      </c>
      <c r="E106" s="245">
        <f>(E100+E103)/2</f>
        <v>2.0764095636873741</v>
      </c>
      <c r="F106" s="251">
        <f>(F100+F103)/2</f>
        <v>2.0764095636873741</v>
      </c>
      <c r="H106" s="245">
        <f>(H100+H103)/2</f>
        <v>2.0764095636873741</v>
      </c>
      <c r="I106" s="245">
        <f>(I100+I103)/2</f>
        <v>2.6693735937768932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