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5CEA9B4-E2BF-4F53-8AFB-173C46720641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6" i="4" l="1"/>
  <c r="E92" i="4"/>
  <c r="F97" i="4"/>
  <c r="F95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<sst xmlns="http://schemas.openxmlformats.org/spreadsheetml/2006/main" count="406" uniqueCount="290">
  <si>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</si>
  <si>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</si>
  <si>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</si>
  <si>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</si>
  <si>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</si>
  <si>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</si>
  <si>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</si>
  <si>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</si>
  <si>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</si>
  <si>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</si>
  <si>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</si>
  <si>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</si>
  <si>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</si>
  <si>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</si>
  <si>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</si>
  <si>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</si>
  <si>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</si>
  <si>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</si>
  <si>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</si>
  <si>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</si>
  <si>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</si>
  <si>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</si>
  <si>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</si>
  <si>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</si>
  <si>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</si>
  <si>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</si>
  <si>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</si>
  <si>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</si>
  <si>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</si>
  <si>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</si>
  <si>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</si>
  <si>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</si>
  <si>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</si>
  <si>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</si>
  <si>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</si>
  <si>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</si>
  <si>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</si>
  <si>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</si>
  <si>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</si>
  <si>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</si>
  <si>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</si>
  <si>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</si>
  <si>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</si>
  <si>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</si>
  <si>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</si>
  <si>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</si>
  <si>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</si>
  <si>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</si>
  <si>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</si>
  <si>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</si>
  <si>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</si>
  <si>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</si>
  <si>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</si>
  <si>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</si>
  <si>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</si>
  <si>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</si>
  <si>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</si>
  <si>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</si>
  <si>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</si>
  <si>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</si>
  <si>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</si>
  <si>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</si>
  <si>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</si>
  <si>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</si>
  <si>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</si>
  <si>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</si>
  <si>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</si>
  <si>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</si>
  <si>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</si>
  <si>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</si>
  <si>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</si>
  <si>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</si>
  <si>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</si>
  <si>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</si>
  <si>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</si>
  <si>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</si>
  <si>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</si>
  <si>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</si>
  <si>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</si>
  <si>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</si>
  <si>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</si>
  <si>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</si>
  <si>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</si>
  <si>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</si>
  <si>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</si>
  <si>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</si>
  <si>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</si>
  <si>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</si>
  <si>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</si>
  <si>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</si>
  <si>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</si>
  <si>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</si>
  <si>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</si>
  <si>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</si>
  <si>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</si>
  <si>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</si>
  <si>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</si>
  <si>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</si>
  <si>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</si>
  <si>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</si>
  <si>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</si>
  <si>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</si>
  <si>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</si>
  <si>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</si>
  <si>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</si>
  <si>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</si>
  <si>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</si>
  <si>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</si>
  <si>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</si>
  <si>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</si>
  <si>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</si>
  <si>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</si>
  <si>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</si>
  <si>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</si>
  <si>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</si>
  <si>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</si>
  <si>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</si>
  <si>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</si>
  <si>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</si>
  <si>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</si>
  <si>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</si>
  <si>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</si>
  <si>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</si>
  <si>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</si>
  <si>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</si>
  <si>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</si>
  <si>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</si>
  <si>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</si>
  <si>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</si>
  <si>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</si>
  <si>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</si>
  <si>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</si>
  <si>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</si>
  <si>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</si>
  <si>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</si>
  <si>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</si>
  <si>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</si>
  <si>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</si>
  <si>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</si>
  <si>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</si>
  <si>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</si>
  <si>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</si>
  <si>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</si>
  <si>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</si>
  <si>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</si>
  <si>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</si>
  <si>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</si>
  <si>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</si>
  <si>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</si>
  <si>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</si>
  <si>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</si>
  <si>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</si>
  <si>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</si>
  <si>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</si>
  <si>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</si>
  <si>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</si>
  <si>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</si>
  <si>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</si>
  <si>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</si>
  <si>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</si>
  <si>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</si>
  <si>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</si>
  <si>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</si>
  <si>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</si>
  <si>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</si>
  <si>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</si>
  <si>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</si>
  <si>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</si>
  <si>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</si>
  <si>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</si>
  <si>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</si>
  <si>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</si>
  <si>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</si>
  <si>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</si>
  <si>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</si>
  <si>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</si>
  <si>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</si>
  <si>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</si>
  <si>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</si>
  <si>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</si>
  <si>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</si>
  <si>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</si>
  <si>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</si>
  <si>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</si>
  <si>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</si>
  <si>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</si>
  <si>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</si>
  <si>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</si>
  <si>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</si>
  <si>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</si>
  <si>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</si>
  <si>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</si>
  <si>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</si>
  <si>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</si>
  <si>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</si>
  <si>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</si>
  <si>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</si>
  <si>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</si>
  <si>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</si>
  <si>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</si>
  <si>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</si>
  <si>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</si>
  <si>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</si>
  <si>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</si>
  <si>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</si>
  <si>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</si>
  <si>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</si>
  <si>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</si>
  <si>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</si>
  <si>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</si>
  <si>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</si>
  <si>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</si>
  <si>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</si>
  <si>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</si>
  <si>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</si>
  <si>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</si>
  <si>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</si>
  <si>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</si>
  <si>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</si>
  <si>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</si>
  <si>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</si>
  <si>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</si>
  <si>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</si>
  <si>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</si>
  <si>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</si>
  <si>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</si>
  <si>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</si>
  <si>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</si>
  <si>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</si>
  <si>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</si>
  <si>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</si>
  <si>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</si>
  <si>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</si>
  <si>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</si>
  <si>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</si>
  <si>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</si>
  <si>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</si>
  <si>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</si>
  <si>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</si>
  <si>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</si>
  <si>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</si>
  <si>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</si>
  <si>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</si>
  <si>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</si>
  <si>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</si>
  <si>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</si>
  <si>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</si>
  <si>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</si>
  <si>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</si>
  <si>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</si>
  <si>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</si>
  <si>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</si>
  <si>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</si>
  <si>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</si>
  <si>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</si>
  <si>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</si>
  <si>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</si>
  <si>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</si>
  <si>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</si>
  <si>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</si>
  <si>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</si>
  <si>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</si>
  <si>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</si>
  <si>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</si>
  <si>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</si>
  <si>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</si>
  <si>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</si>
  <si>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</si>
  <si>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</si>
  <si>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</si>
  <si>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</si>
  <si>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</si>
  <si>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</si>
  <si>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</si>
  <si>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</si>
  <si>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</si>
  <si>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</si>
  <si>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</si>
  <si>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</si>
  <si>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</si>
  <si>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</si>
  <si>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</si>
  <si>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</si>
  <si>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6601.HK</t>
  </si>
  <si>
    <t>HOLD</t>
  </si>
  <si>
    <t>朝云集团</t>
  </si>
  <si>
    <t>Tier 3</t>
  </si>
  <si>
    <t>C0007</t>
  </si>
  <si>
    <t>CNY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</si>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</sst>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 t="s">
        <v>284</v>
      </c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1333333500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1615585</v>
      </c>
      <c r="D25" s="77">
        <v>1446638</v>
      </c>
      <c r="E25" s="77">
        <v>1769157</v>
      </c>
      <c r="F25" s="77">
        <v>1702154</v>
      </c>
      <c r="G25" s="77">
        <v>1383402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897327</v>
      </c>
      <c r="D26" s="78">
        <v>845264</v>
      </c>
      <c r="E26" s="78">
        <v>981731</v>
      </c>
      <c r="F26" s="78">
        <v>959572</v>
      </c>
      <c r="G26" s="78">
        <v>783542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613104</v>
      </c>
      <c r="D27" s="78">
        <v>599182</v>
      </c>
      <c r="E27" s="78">
        <v>705390</v>
      </c>
      <c r="F27" s="78">
        <v>456610</v>
      </c>
      <c r="G27" s="78">
        <v>396643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1003</v>
      </c>
      <c r="D29" s="78">
        <v>863</v>
      </c>
      <c r="E29" s="78">
        <v>1613</v>
      </c>
      <c r="F29" s="78">
        <v>2645</v>
      </c>
      <c r="G29" s="78">
        <v>299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645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2199</v>
      </c>
      <c r="D31" s="78">
        <v>645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-169280</v>
      </c>
      <c r="D32" s="78">
        <v>-50846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35974</v>
      </c>
      <c r="D33" s="78">
        <v>32106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15312</v>
      </c>
      <c r="D34" s="78">
        <v>11600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642877</v>
      </c>
      <c r="D37" s="78">
        <v>734909</v>
      </c>
      <c r="E37" s="78">
        <v>677999</v>
      </c>
      <c r="F37" s="78">
        <v>1352795</v>
      </c>
      <c r="G37" s="78">
        <v>1205068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18682</v>
      </c>
      <c r="E38" s="78">
        <v>61277</v>
      </c>
      <c r="F38" s="78">
        <v>51229</v>
      </c>
      <c r="G38" s="78">
        <v>23195</v>
      </c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6202</v>
      </c>
      <c r="E39" s="78">
        <v>5517</v>
      </c>
      <c r="F39" s="78">
        <v>301783</v>
      </c>
      <c r="G39" s="78">
        <v>3225</v>
      </c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10412</v>
      </c>
      <c r="E40" s="78">
        <v>9392</v>
      </c>
      <c r="F40" s="78">
        <v>5096</v>
      </c>
      <c r="G40" s="78">
        <v>6880</v>
      </c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3027292</v>
      </c>
      <c r="D41" s="302">
        <v>2824568</v>
      </c>
      <c r="E41" s="302">
        <v>2735259</v>
      </c>
      <c r="F41" s="302">
        <v>250534</v>
      </c>
      <c r="G41" s="302">
        <v>13930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3990</v>
      </c>
      <c r="D42" s="78">
        <v>7297</v>
      </c>
      <c r="E42" s="78">
        <v>1498</v>
      </c>
      <c r="F42" s="78">
        <v>2853</v>
      </c>
      <c r="G42" s="78">
        <v>696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2868641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0.1178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7.0008937295810689E-2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2385307</v>
      </c>
      <c r="D48" s="109">
        <v>0.9</v>
      </c>
      <c r="E48" s="260"/>
    </row>
    <row r="49" spans="2:5" x14ac:dyDescent="0.35">
      <c r="B49" s="2" t="s">
        <v>123</v>
      </c>
      <c r="C49" s="86">
        <v>0</v>
      </c>
      <c r="D49" s="109">
        <v>0.8</v>
      </c>
      <c r="E49" s="260"/>
    </row>
    <row r="50" spans="2:5" x14ac:dyDescent="0.35">
      <c r="B50" s="9" t="s">
        <v>105</v>
      </c>
      <c r="C50" s="86">
        <v>180994</v>
      </c>
      <c r="D50" s="109">
        <f>D51</f>
        <v>0.6</v>
      </c>
      <c r="E50" s="260"/>
    </row>
    <row r="51" spans="2:5" x14ac:dyDescent="0.35">
      <c r="B51" s="9" t="s">
        <v>34</v>
      </c>
      <c r="C51" s="86">
        <v>0</v>
      </c>
      <c r="D51" s="109">
        <v>0.6</v>
      </c>
      <c r="E51" s="260"/>
    </row>
    <row r="52" spans="2:5" x14ac:dyDescent="0.35">
      <c r="B52" s="9" t="s">
        <v>36</v>
      </c>
      <c r="C52" s="86">
        <v>253051</v>
      </c>
      <c r="D52" s="109">
        <v>0.5</v>
      </c>
      <c r="E52" s="260"/>
    </row>
    <row r="53" spans="2:5" x14ac:dyDescent="0.35">
      <c r="B53" s="2" t="s">
        <v>141</v>
      </c>
      <c r="C53" s="86">
        <v>0</v>
      </c>
      <c r="D53" s="109">
        <f>D50</f>
        <v>0.6</v>
      </c>
      <c r="E53" s="260"/>
    </row>
    <row r="54" spans="2:5" x14ac:dyDescent="0.35">
      <c r="B54" s="9" t="s">
        <v>226</v>
      </c>
      <c r="C54" s="86">
        <v>0</v>
      </c>
      <c r="D54" s="109">
        <v>0.1</v>
      </c>
      <c r="E54" s="260"/>
    </row>
    <row r="55" spans="2:5" x14ac:dyDescent="0.35">
      <c r="B55" s="9" t="s">
        <v>39</v>
      </c>
      <c r="C55" s="86">
        <v>158110</v>
      </c>
      <c r="D55" s="109">
        <f>D52</f>
        <v>0.5</v>
      </c>
      <c r="E55" s="260"/>
    </row>
    <row r="56" spans="2:5" x14ac:dyDescent="0.35">
      <c r="B56" s="2" t="s">
        <v>40</v>
      </c>
      <c r="C56" s="86">
        <v>0</v>
      </c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>
        <v>0</v>
      </c>
      <c r="D57" s="109">
        <v>0.6</v>
      </c>
      <c r="E57" s="261" t="s">
        <v>38</v>
      </c>
    </row>
    <row r="58" spans="2:5" x14ac:dyDescent="0.35">
      <c r="B58" s="9" t="s">
        <v>42</v>
      </c>
      <c r="C58" s="86">
        <v>5912</v>
      </c>
      <c r="D58" s="109">
        <f>D48</f>
        <v>0.9</v>
      </c>
      <c r="E58" s="260"/>
    </row>
    <row r="59" spans="2:5" x14ac:dyDescent="0.35">
      <c r="B59" s="12" t="s">
        <v>43</v>
      </c>
      <c r="C59" s="88">
        <v>0</v>
      </c>
      <c r="D59" s="110">
        <f>D70</f>
        <v>0.05</v>
      </c>
      <c r="E59" s="260"/>
    </row>
    <row r="60" spans="2:5" x14ac:dyDescent="0.35">
      <c r="B60" s="9" t="s">
        <v>53</v>
      </c>
      <c r="C60" s="86">
        <v>279425</v>
      </c>
      <c r="D60" s="109">
        <f>D49</f>
        <v>0.8</v>
      </c>
      <c r="E60" s="260"/>
    </row>
    <row r="61" spans="2:5" x14ac:dyDescent="0.35">
      <c r="B61" s="9" t="s">
        <v>55</v>
      </c>
      <c r="C61" s="86">
        <v>126127</v>
      </c>
      <c r="D61" s="109">
        <f>D51</f>
        <v>0.6</v>
      </c>
      <c r="E61" s="260"/>
    </row>
    <row r="62" spans="2:5" x14ac:dyDescent="0.35">
      <c r="B62" s="9" t="s">
        <v>57</v>
      </c>
      <c r="C62" s="86">
        <v>0</v>
      </c>
      <c r="D62" s="109">
        <f>D52</f>
        <v>0.5</v>
      </c>
      <c r="E62" s="260"/>
    </row>
    <row r="63" spans="2:5" x14ac:dyDescent="0.35">
      <c r="B63" s="2" t="s">
        <v>142</v>
      </c>
      <c r="C63" s="86">
        <v>0</v>
      </c>
      <c r="D63" s="109">
        <f>D62</f>
        <v>0.5</v>
      </c>
      <c r="E63" s="260"/>
    </row>
    <row r="64" spans="2:5" x14ac:dyDescent="0.35">
      <c r="B64" s="9" t="s">
        <v>225</v>
      </c>
      <c r="C64" s="86">
        <v>0</v>
      </c>
      <c r="D64" s="109">
        <v>0.4</v>
      </c>
      <c r="E64" s="260"/>
    </row>
    <row r="65" spans="2:5" x14ac:dyDescent="0.35">
      <c r="B65" s="9" t="s">
        <v>62</v>
      </c>
      <c r="C65" s="86">
        <v>1500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0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0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193915</v>
      </c>
      <c r="D68" s="109">
        <f>D65</f>
        <v>0.1</v>
      </c>
      <c r="E68" s="260"/>
    </row>
    <row r="69" spans="2:5" x14ac:dyDescent="0.35">
      <c r="B69" s="9" t="s">
        <v>65</v>
      </c>
      <c r="C69" s="86">
        <v>0</v>
      </c>
      <c r="D69" s="109">
        <f>D70</f>
        <v>0.05</v>
      </c>
      <c r="E69" s="260"/>
    </row>
    <row r="70" spans="2:5" x14ac:dyDescent="0.35">
      <c r="B70" s="9" t="s">
        <v>66</v>
      </c>
      <c r="C70" s="86">
        <v>9704</v>
      </c>
      <c r="D70" s="109">
        <v>0.05</v>
      </c>
      <c r="E70" s="260"/>
    </row>
    <row r="71" spans="2:5" x14ac:dyDescent="0.35">
      <c r="B71" s="9" t="s">
        <v>67</v>
      </c>
      <c r="C71" s="86">
        <v>76124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>
        <v>13416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611931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20583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>
        <v>30946</v>
      </c>
    </row>
    <row r="83" spans="2:8" hidden="1" x14ac:dyDescent="0.35">
      <c r="B83" s="300" t="s">
        <v>246</v>
      </c>
      <c r="C83" s="79">
        <v>3023302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1615585</v>
      </c>
      <c r="D91" s="98"/>
      <c r="E91" s="99">
        <f>C91</f>
        <v>1615585</v>
      </c>
      <c r="F91" s="99">
        <f>C91</f>
        <v>1615585</v>
      </c>
    </row>
    <row r="92" spans="2:8" x14ac:dyDescent="0.35">
      <c r="B92" s="100" t="s">
        <v>97</v>
      </c>
      <c r="C92" s="97">
        <f>C26</f>
        <v>897327</v>
      </c>
      <c r="D92" s="101">
        <f>C92/C91</f>
        <v>0.55541924442229906</v>
      </c>
      <c r="E92" s="102">
        <f>E91*D92</f>
        <v>897327</v>
      </c>
      <c r="F92" s="102">
        <f>F91*D92</f>
        <v>897327</v>
      </c>
    </row>
    <row r="93" spans="2:8" x14ac:dyDescent="0.35">
      <c r="B93" s="100" t="s">
        <v>216</v>
      </c>
      <c r="C93" s="97">
        <f>C27+C28</f>
        <v>613104</v>
      </c>
      <c r="D93" s="101">
        <f>C93/C91</f>
        <v>0.37949349616392825</v>
      </c>
      <c r="E93" s="102">
        <f>E91*D93</f>
        <v>613104</v>
      </c>
      <c r="F93" s="102">
        <f>F91*D93</f>
        <v>613104</v>
      </c>
    </row>
    <row r="94" spans="2:8" x14ac:dyDescent="0.35">
      <c r="B94" s="100" t="s">
        <v>222</v>
      </c>
      <c r="C94" s="97">
        <f>C29</f>
        <v>1003</v>
      </c>
      <c r="D94" s="101">
        <f>C94/C91</f>
        <v>6.208277497005729E-4</v>
      </c>
      <c r="E94" s="103"/>
      <c r="F94" s="102">
        <f>F91*D94</f>
        <v>1003.0000000000001</v>
      </c>
    </row>
    <row r="95" spans="2:8" x14ac:dyDescent="0.35">
      <c r="B95" s="18" t="s">
        <v>215</v>
      </c>
      <c r="C95" s="97">
        <f>ABS(MAX(C34,0)-C33)</f>
        <v>20662</v>
      </c>
      <c r="D95" s="101">
        <f>C95/C91</f>
        <v>1.2789175437999239E-2</v>
      </c>
      <c r="E95" s="102">
        <f>E91*D95</f>
        <v>20662</v>
      </c>
      <c r="F95" s="102">
        <f>F91*D95</f>
        <v>20662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2932</v>
      </c>
      <c r="D97" s="101">
        <f>C97/C91</f>
        <v>1.8148224946381651E-3</v>
      </c>
      <c r="E97" s="103"/>
      <c r="F97" s="102">
        <f>F91*D97</f>
        <v>2932</v>
      </c>
    </row>
    <row r="98" spans="2:6" x14ac:dyDescent="0.35">
      <c r="B98" s="8" t="s">
        <v>180</v>
      </c>
      <c r="C98" s="104">
        <f>C44</f>
        <v>0.1178</v>
      </c>
      <c r="D98" s="105"/>
      <c r="E98" s="106">
        <f>F98</f>
        <v>0.1178</v>
      </c>
      <c r="F98" s="106">
        <f>C98</f>
        <v>0.1178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6601.HK : 朝云集团</v>
      </c>
      <c r="D2" s="3"/>
      <c r="E2" s="7"/>
      <c r="F2" s="7"/>
      <c r="G2" s="318" t="str">
        <f>IF(Inputs!D4="","",Inputs!D4)</f>
        <v>HOLD</v>
      </c>
      <c r="H2" s="318"/>
    </row>
    <row r="3" spans="1:10" ht="15.75" customHeight="1" x14ac:dyDescent="0.35">
      <c r="B3" s="9" t="s">
        <v>167</v>
      </c>
      <c r="C3" s="316" t="str">
        <f>Inputs!C4</f>
        <v>6601.HK</v>
      </c>
      <c r="D3" s="317"/>
      <c r="E3" s="3"/>
      <c r="F3" s="9" t="s">
        <v>1</v>
      </c>
      <c r="G3" s="10">
        <v>1.79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朝云集团</v>
      </c>
      <c r="D4" s="319"/>
      <c r="E4" s="3"/>
      <c r="F4" s="9" t="s">
        <v>2</v>
      </c>
      <c r="G4" s="322">
        <f>Inputs!C10</f>
        <v>1333333500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4">
        <f>G3*G4/1000000</f>
        <v>2386.6669649999999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C0007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3.3811375773905486E-2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6.3272436919134561E-2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0.44019362596109335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1.2139604313429488</v>
      </c>
      <c r="F23" s="39" t="s">
        <v>163</v>
      </c>
      <c r="G23" s="40">
        <f>G3/(Data!C36*Data!C4/Common_Shares*Exchange_Rate)</f>
        <v>0.74109909482545933</v>
      </c>
    </row>
    <row r="24" spans="1:8" ht="15.75" customHeight="1" x14ac:dyDescent="0.35">
      <c r="B24" s="41" t="s">
        <v>239</v>
      </c>
      <c r="C24" s="42">
        <f>Fin_Analysis!I81</f>
        <v>6.208277497005729E-4</v>
      </c>
      <c r="F24" s="39" t="s">
        <v>224</v>
      </c>
      <c r="G24" s="43">
        <f>G3/(Fin_Analysis!H86*G7)</f>
        <v>37.133513925499614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2.5996778479834153</v>
      </c>
    </row>
    <row r="26" spans="1:8" ht="15.75" customHeight="1" x14ac:dyDescent="0.35">
      <c r="B26" s="45" t="s">
        <v>241</v>
      </c>
      <c r="C26" s="44">
        <f>Fin_Analysis!I80+Fin_Analysis!I82</f>
        <v>1.2789175437999239E-2</v>
      </c>
      <c r="F26" s="46" t="s">
        <v>166</v>
      </c>
      <c r="G26" s="47">
        <f>Fin_Analysis!H88*Exchange_Rate/G3</f>
        <v>7.0008937295810689E-2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1.2950545612264879</v>
      </c>
      <c r="D29" s="54">
        <f>G29*(1+G20)</f>
        <v>2.093056492263071</v>
      </c>
      <c r="E29" s="3"/>
      <c r="F29" s="55">
        <f>IF(Fin_Analysis!C108="Profit",Fin_Analysis!F100,IF(Fin_Analysis!C108="Dividend",Fin_Analysis!F103,Fin_Analysis!F106))</f>
        <v>1.523593601442927</v>
      </c>
      <c r="G29" s="313">
        <f>IF(Fin_Analysis!C108="Profit",Fin_Analysis!I100,IF(Fin_Analysis!C108="Dividend",Fin_Analysis!I103,Fin_Analysis!I106))</f>
        <v>1.8200491237070184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102222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1615585</v>
      </c>
      <c r="D6" s="142">
        <f>IF(Inputs!D25="","",Inputs!D25)</f>
        <v>1446638</v>
      </c>
      <c r="E6" s="142">
        <f>IF(Inputs!E25="","",Inputs!E25)</f>
        <v>1769157</v>
      </c>
      <c r="F6" s="142">
        <f>IF(Inputs!F25="","",Inputs!F25)</f>
        <v>1702154</v>
      </c>
      <c r="G6" s="142">
        <f>IF(Inputs!G25="","",Inputs!G25)</f>
        <v>1383402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0.11678595474472542</v>
      </c>
      <c r="D7" s="143">
        <f t="shared" si="1"/>
        <v>-0.18230094898304672</v>
      </c>
      <c r="E7" s="143">
        <f t="shared" si="1"/>
        <v>3.9363653347464389E-2</v>
      </c>
      <c r="F7" s="143">
        <f t="shared" si="1"/>
        <v>0.2304116952266948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897327</v>
      </c>
      <c r="D8" s="144">
        <f>IF(Inputs!D26="","",Inputs!D26)</f>
        <v>845264</v>
      </c>
      <c r="E8" s="144">
        <f>IF(Inputs!E26="","",Inputs!E26)</f>
        <v>981731</v>
      </c>
      <c r="F8" s="144">
        <f>IF(Inputs!F26="","",Inputs!F26)</f>
        <v>959572</v>
      </c>
      <c r="G8" s="144">
        <f>IF(Inputs!G26="","",Inputs!G26)</f>
        <v>783542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718258</v>
      </c>
      <c r="D9" s="273">
        <f t="shared" si="2"/>
        <v>601374</v>
      </c>
      <c r="E9" s="273">
        <f t="shared" si="2"/>
        <v>787426</v>
      </c>
      <c r="F9" s="273">
        <f t="shared" si="2"/>
        <v>742582</v>
      </c>
      <c r="G9" s="273">
        <f t="shared" si="2"/>
        <v>599860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613104</v>
      </c>
      <c r="D10" s="144">
        <f>IF(Inputs!D27="","",Inputs!D27)</f>
        <v>599182</v>
      </c>
      <c r="E10" s="144">
        <f>IF(Inputs!E27="","",Inputs!E27)</f>
        <v>705390</v>
      </c>
      <c r="F10" s="144">
        <f>IF(Inputs!F27="","",Inputs!F27)</f>
        <v>456610</v>
      </c>
      <c r="G10" s="144">
        <f>IF(Inputs!G27="","",Inputs!G27)</f>
        <v>396643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2932</v>
      </c>
      <c r="D12" s="144">
        <f>IF(Inputs!D31="","",MAX(Inputs!D31,0)/(1-Fin_Analysis!$I$84))</f>
        <v>860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6.3272436919134561E-2</v>
      </c>
      <c r="D13" s="292">
        <f t="shared" si="3"/>
        <v>9.2075557257586215E-4</v>
      </c>
      <c r="E13" s="292">
        <f t="shared" si="3"/>
        <v>4.6370107344910601E-2</v>
      </c>
      <c r="F13" s="292">
        <f t="shared" si="3"/>
        <v>0.16800595010792208</v>
      </c>
      <c r="G13" s="292">
        <f t="shared" si="3"/>
        <v>0.14689656368864581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102222</v>
      </c>
      <c r="D14" s="294">
        <f t="shared" ref="D14:M14" si="4">IF(D6="","",D9-D10-MAX(D11,0)-MAX(D12,0))</f>
        <v>1332</v>
      </c>
      <c r="E14" s="294">
        <f t="shared" si="4"/>
        <v>82036</v>
      </c>
      <c r="F14" s="294">
        <f t="shared" si="4"/>
        <v>285972</v>
      </c>
      <c r="G14" s="294">
        <f t="shared" si="4"/>
        <v>203217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75.743243243243242</v>
      </c>
      <c r="D15" s="296">
        <f t="shared" ref="D15:M15" si="5">IF(E14="","",IF(ABS(D14+E14)=ABS(D14)+ABS(E14),IF(D14&lt;0,-1,1)*(D14-E14)/E14,"Turn"))</f>
        <v>-0.98376322590082399</v>
      </c>
      <c r="E15" s="296">
        <f t="shared" si="5"/>
        <v>-0.71313275425566136</v>
      </c>
      <c r="F15" s="296">
        <f t="shared" si="5"/>
        <v>0.40722478926467764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-687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645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-169280</v>
      </c>
      <c r="D18" s="144">
        <f>IF(Inputs!D32="","",Inputs!D32)</f>
        <v>-50846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1003</v>
      </c>
      <c r="D19" s="144">
        <f>IF(Inputs!D29="","",Inputs!D29)</f>
        <v>863</v>
      </c>
      <c r="E19" s="144">
        <f>IF(Inputs!E29="","",Inputs!E29)</f>
        <v>1613</v>
      </c>
      <c r="F19" s="144">
        <f>IF(Inputs!F29="","",Inputs!F29)</f>
        <v>2645</v>
      </c>
      <c r="G19" s="144">
        <f>IF(Inputs!G29="","",Inputs!G29)</f>
        <v>299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2.2266856897037297E-2</v>
      </c>
      <c r="D20" s="227">
        <f t="shared" si="7"/>
        <v>2.2193527337177648E-2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35974</v>
      </c>
      <c r="D21" s="144">
        <f>IF(Inputs!D33="","",Inputs!D33)</f>
        <v>32106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9.4776814590380575E-3</v>
      </c>
      <c r="D22" s="227">
        <f t="shared" si="8"/>
        <v>8.0185920734834829E-3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15312</v>
      </c>
      <c r="D23" s="144">
        <f>IF(Inputs!D34="","",Inputs!D34)</f>
        <v>11600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80557</v>
      </c>
      <c r="D24" s="309">
        <f t="shared" si="9"/>
        <v>-20037</v>
      </c>
      <c r="E24" s="309">
        <f t="shared" si="9"/>
        <v>80423</v>
      </c>
      <c r="F24" s="309">
        <f t="shared" si="9"/>
        <v>283327</v>
      </c>
      <c r="G24" s="309">
        <f t="shared" si="9"/>
        <v>202918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3.7396825298576054E-2</v>
      </c>
      <c r="D25" s="143">
        <f t="shared" si="10"/>
        <v>-1.0388051468300985E-2</v>
      </c>
      <c r="E25" s="143">
        <f t="shared" si="10"/>
        <v>3.4093780258055109E-2</v>
      </c>
      <c r="F25" s="143">
        <f t="shared" si="10"/>
        <v>0.12483902749104958</v>
      </c>
      <c r="G25" s="143">
        <f t="shared" si="10"/>
        <v>0.11001032237917828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60417.75</v>
      </c>
      <c r="D26" s="276">
        <f>IF(D6="","",D24*(1-Fin_Analysis!$I$84))</f>
        <v>-15027.75</v>
      </c>
      <c r="E26" s="276">
        <f>IF(E6="","",E24*(1-Fin_Analysis!$I$84))</f>
        <v>60317.25</v>
      </c>
      <c r="F26" s="276">
        <f>IF(F6="","",F24*(1-Fin_Analysis!$I$84))</f>
        <v>212495.25</v>
      </c>
      <c r="G26" s="276">
        <f>IF(G6="","",G24*(1-Fin_Analysis!$I$84))</f>
        <v>152188.5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>Turn</v>
      </c>
      <c r="E27" s="305">
        <f t="shared" si="11"/>
        <v>-0.71614777271491947</v>
      </c>
      <c r="F27" s="305">
        <f t="shared" si="11"/>
        <v>0.3962635153116037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3670169</v>
      </c>
      <c r="D29" s="147">
        <f>IF(D36="","",D36+D32)</f>
        <v>3559477</v>
      </c>
      <c r="E29" s="147">
        <f t="shared" ref="E29:M29" si="21">IF(E36="","",E36+E32)</f>
        <v>3413258</v>
      </c>
      <c r="F29" s="147">
        <f t="shared" si="21"/>
        <v>1603329</v>
      </c>
      <c r="G29" s="147">
        <f t="shared" si="21"/>
        <v>1218998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180994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158110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642877</v>
      </c>
      <c r="D32" s="144">
        <f>IF(Inputs!D37="","",Inputs!D37)</f>
        <v>734909</v>
      </c>
      <c r="E32" s="144">
        <f>IF(Inputs!E37="","",Inputs!E37)</f>
        <v>677999</v>
      </c>
      <c r="F32" s="144">
        <f>IF(Inputs!F37="","",Inputs!F37)</f>
        <v>1352795</v>
      </c>
      <c r="G32" s="144">
        <f>IF(Inputs!G37="","",Inputs!G37)</f>
        <v>1205068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13416</v>
      </c>
      <c r="D33" s="144">
        <f>IF(Inputs!D39="","",Inputs!D39)</f>
        <v>6202</v>
      </c>
      <c r="E33" s="144">
        <f>IF(Inputs!E39="","",Inputs!E39)</f>
        <v>5517</v>
      </c>
      <c r="F33" s="144">
        <f>IF(Inputs!F39="","",Inputs!F39)</f>
        <v>301783</v>
      </c>
      <c r="G33" s="144">
        <f>IF(Inputs!G39="","",Inputs!G39)</f>
        <v>3225</v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20583</v>
      </c>
      <c r="D34" s="144">
        <f>IF(Inputs!D40="","",Inputs!D40)</f>
        <v>10412</v>
      </c>
      <c r="E34" s="144">
        <f>IF(Inputs!E40="","",Inputs!E40)</f>
        <v>9392</v>
      </c>
      <c r="F34" s="144">
        <f>IF(Inputs!F40="","",Inputs!F40)</f>
        <v>5096</v>
      </c>
      <c r="G34" s="144">
        <f>IF(Inputs!G40="","",Inputs!G40)</f>
        <v>6880</v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33999</v>
      </c>
      <c r="D35" s="97">
        <f t="shared" ref="D35" si="23">IF(OR(D33="",D34=""),"",D33+D34)</f>
        <v>16614</v>
      </c>
      <c r="E35" s="97">
        <f t="shared" ref="E35" si="24">IF(OR(E33="",E34=""),"",E33+E34)</f>
        <v>14909</v>
      </c>
      <c r="F35" s="97">
        <f t="shared" ref="F35" si="25">IF(OR(F33="",F34=""),"",F33+F34)</f>
        <v>306879</v>
      </c>
      <c r="G35" s="97">
        <f t="shared" ref="G35" si="26">IF(OR(G33="",G34=""),"",G33+G34)</f>
        <v>10105</v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3027292</v>
      </c>
      <c r="D36" s="144">
        <f>IF(Inputs!D41="","",Inputs!D41)</f>
        <v>2824568</v>
      </c>
      <c r="E36" s="144">
        <f>IF(Inputs!E41="","",Inputs!E41)</f>
        <v>2735259</v>
      </c>
      <c r="F36" s="144">
        <f>IF(Inputs!F41="","",Inputs!F41)</f>
        <v>250534</v>
      </c>
      <c r="G36" s="144">
        <f>IF(Inputs!G41="","",Inputs!G41)</f>
        <v>13930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3990</v>
      </c>
      <c r="D37" s="144">
        <f>IF(Inputs!D42="","",Inputs!D42)</f>
        <v>7297</v>
      </c>
      <c r="E37" s="144">
        <f>IF(Inputs!E42="","",Inputs!E42)</f>
        <v>1498</v>
      </c>
      <c r="F37" s="144">
        <f>IF(Inputs!F42="","",Inputs!F42)</f>
        <v>2853</v>
      </c>
      <c r="G37" s="144">
        <f>IF(Inputs!G42="","",Inputs!G42)</f>
        <v>696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2868641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624759</v>
      </c>
      <c r="D39" s="147">
        <f t="shared" ref="D39:M39" si="33">IF(D38="","",D29-D38)</f>
        <v>690836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0.16361829121309177</v>
      </c>
      <c r="D40" s="148">
        <f>IF(D6="","",D14/MAX(D39,0))</f>
        <v>1.9280987093897829E-3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0.55541924442229906</v>
      </c>
      <c r="D42" s="150">
        <f t="shared" si="35"/>
        <v>0.5842954491724951</v>
      </c>
      <c r="E42" s="150">
        <f t="shared" si="35"/>
        <v>0.55491457230760188</v>
      </c>
      <c r="F42" s="150">
        <f t="shared" si="35"/>
        <v>0.56373982612619067</v>
      </c>
      <c r="G42" s="150">
        <f t="shared" si="35"/>
        <v>0.56638778894348862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0.37949349616392825</v>
      </c>
      <c r="D43" s="146">
        <f t="shared" si="36"/>
        <v>0.41418931342879145</v>
      </c>
      <c r="E43" s="146">
        <f t="shared" si="36"/>
        <v>0.39871532034748752</v>
      </c>
      <c r="F43" s="146">
        <f t="shared" si="36"/>
        <v>0.2682542237658872</v>
      </c>
      <c r="G43" s="146">
        <f t="shared" si="36"/>
        <v>0.28671564736786559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6.208277497005729E-4</v>
      </c>
      <c r="D45" s="146">
        <f t="shared" si="38"/>
        <v>5.9655559994967644E-4</v>
      </c>
      <c r="E45" s="146">
        <f t="shared" si="38"/>
        <v>9.1173366750378854E-4</v>
      </c>
      <c r="F45" s="146">
        <f t="shared" si="38"/>
        <v>1.5539134531893119E-3</v>
      </c>
      <c r="G45" s="146">
        <f t="shared" si="38"/>
        <v>2.1613384974143452E-4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1.8148224946381651E-3</v>
      </c>
      <c r="D46" s="146">
        <f t="shared" si="39"/>
        <v>5.9448182613756862E-4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1.2789175437999239E-2</v>
      </c>
      <c r="D47" s="146">
        <f t="shared" si="40"/>
        <v>1.4174935263694165E-2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4.9862433731434744E-2</v>
      </c>
      <c r="D48" s="281">
        <f t="shared" si="41"/>
        <v>-1.385073529106798E-2</v>
      </c>
      <c r="E48" s="281">
        <f t="shared" si="41"/>
        <v>4.5458373677406808E-2</v>
      </c>
      <c r="F48" s="281">
        <f t="shared" si="41"/>
        <v>0.16645203665473277</v>
      </c>
      <c r="G48" s="281">
        <f t="shared" si="41"/>
        <v>0.14668042983890439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0.44019362596109335</v>
      </c>
      <c r="D50" s="153">
        <f t="shared" si="42"/>
        <v>0.40641869578030704</v>
      </c>
      <c r="E50" s="153">
        <f t="shared" si="42"/>
        <v>0.51831915430946029</v>
      </c>
      <c r="F50" s="153">
        <f t="shared" si="42"/>
        <v>1.0616373807247297</v>
      </c>
      <c r="G50" s="153">
        <f t="shared" si="42"/>
        <v>1.1348681458049972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0.11203000770618693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9.7865479067953717E-2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-1.0019710323355846</v>
      </c>
      <c r="D53" s="146">
        <f t="shared" si="45"/>
        <v>0.15765272743621306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0.82375007799368372</v>
      </c>
      <c r="D55" s="150">
        <f t="shared" si="46"/>
        <v>0.79148453550900877</v>
      </c>
      <c r="E55" s="150">
        <f t="shared" si="46"/>
        <v>0.80092421961656579</v>
      </c>
      <c r="F55" s="150">
        <f t="shared" si="46"/>
        <v>0.15447921169017712</v>
      </c>
      <c r="G55" s="150">
        <f t="shared" si="46"/>
        <v>1.0856457516747362E-2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2.369393217447572</v>
      </c>
      <c r="D56" s="154">
        <f t="shared" si="47"/>
        <v>-1.2060310581437341</v>
      </c>
      <c r="E56" s="154">
        <f t="shared" si="47"/>
        <v>5.3942585015762292</v>
      </c>
      <c r="F56" s="154">
        <f t="shared" si="47"/>
        <v>0.92325313885928983</v>
      </c>
      <c r="G56" s="154">
        <f t="shared" si="47"/>
        <v>20.080950024740229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1.2450811226833175E-2</v>
      </c>
      <c r="D57" s="146">
        <f t="shared" si="48"/>
        <v>-4.3070319908169882E-2</v>
      </c>
      <c r="E57" s="146">
        <f t="shared" si="48"/>
        <v>2.0056451512626985E-2</v>
      </c>
      <c r="F57" s="146">
        <f t="shared" si="48"/>
        <v>9.3355027935918562E-3</v>
      </c>
      <c r="G57" s="146">
        <f t="shared" si="48"/>
        <v>1.4735016114883846E-3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5.2485238702202602E-3</v>
      </c>
      <c r="E58" s="146">
        <f>IF(E36="","",IF(Inputs!E38=0,0,Inputs!E38/E29))</f>
        <v>1.7952642314176075E-2</v>
      </c>
      <c r="F58" s="146">
        <f>IF(F36="","",IF(Inputs!F38=0,0,Inputs!F38/F29))</f>
        <v>3.1951645607358192E-2</v>
      </c>
      <c r="G58" s="146">
        <f>IF(G36="","",IF(Inputs!G38=0,0,Inputs!G38/G29))</f>
        <v>1.9027922933425648E-2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3.3811375773905486E-2</v>
      </c>
      <c r="D60" s="156">
        <f t="shared" si="50"/>
        <v>4.7279796654279974E-4</v>
      </c>
      <c r="E60" s="156">
        <f t="shared" si="50"/>
        <v>3.0008475503162126E-2</v>
      </c>
      <c r="F60" s="156">
        <f t="shared" si="50"/>
        <v>1.1545980515259548</v>
      </c>
      <c r="G60" s="156">
        <f t="shared" si="50"/>
        <v>15.355674777089316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2.6645369863811157E-2</v>
      </c>
      <c r="D61" s="156">
        <f t="shared" si="51"/>
        <v>-7.1122018435571159E-3</v>
      </c>
      <c r="E61" s="156">
        <f t="shared" si="51"/>
        <v>2.9418445869993756E-2</v>
      </c>
      <c r="F61" s="156">
        <f t="shared" si="51"/>
        <v>1.143918992575127</v>
      </c>
      <c r="G61" s="156">
        <f t="shared" si="51"/>
        <v>15.333081456853559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3027292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3023302</v>
      </c>
      <c r="K3" s="75"/>
    </row>
    <row r="4" spans="1:11" ht="15" customHeight="1" x14ac:dyDescent="0.35">
      <c r="B4" s="9" t="s">
        <v>21</v>
      </c>
      <c r="C4" s="3"/>
      <c r="D4" s="144">
        <f>Inputs!C42</f>
        <v>3990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4.8753437887604978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1983621.5</v>
      </c>
      <c r="E6" s="170">
        <f>1-D6/D3</f>
        <v>0.34475382619185724</v>
      </c>
      <c r="F6" s="3"/>
      <c r="G6" s="3"/>
      <c r="H6" s="2" t="s">
        <v>24</v>
      </c>
      <c r="I6" s="168">
        <f>(C24+C25)/I28</f>
        <v>4.6073037646401307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1.5826367341506604</v>
      </c>
      <c r="E7" s="167" t="str">
        <f>Dashboard!H3</f>
        <v>HKD</v>
      </c>
      <c r="H7" s="2" t="s">
        <v>25</v>
      </c>
      <c r="I7" s="168">
        <f>C24/I28</f>
        <v>4.1937751151682132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2385307</v>
      </c>
      <c r="D11" s="258">
        <f>Inputs!D48</f>
        <v>0.9</v>
      </c>
      <c r="E11" s="176">
        <f t="shared" ref="E11:E22" si="0">C11*D11</f>
        <v>2146776.3000000003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13416</v>
      </c>
      <c r="J12" s="3"/>
      <c r="K12" s="75"/>
    </row>
    <row r="13" spans="1:11" ht="11.65" x14ac:dyDescent="0.35">
      <c r="B13" s="9" t="s">
        <v>105</v>
      </c>
      <c r="C13" s="175">
        <f>Inputs!C50</f>
        <v>180994</v>
      </c>
      <c r="D13" s="258">
        <f>Inputs!D50</f>
        <v>0.6</v>
      </c>
      <c r="E13" s="176">
        <f t="shared" si="0"/>
        <v>108596.4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253051</v>
      </c>
      <c r="D15" s="258">
        <f>Inputs!D52</f>
        <v>0.5</v>
      </c>
      <c r="E15" s="176">
        <f t="shared" si="0"/>
        <v>126525.5</v>
      </c>
      <c r="F15" s="260"/>
      <c r="G15" s="3"/>
      <c r="H15" s="2" t="s">
        <v>46</v>
      </c>
      <c r="I15" s="180">
        <f>SUM(I11:I14)</f>
        <v>13416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158110</v>
      </c>
      <c r="D18" s="258">
        <f>Inputs!D55</f>
        <v>0.5</v>
      </c>
      <c r="E18" s="176">
        <f t="shared" si="0"/>
        <v>79055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5912</v>
      </c>
      <c r="D21" s="258">
        <f>Inputs!D58</f>
        <v>0.9</v>
      </c>
      <c r="E21" s="176">
        <f t="shared" si="0"/>
        <v>5320.8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598515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2566301</v>
      </c>
      <c r="D24" s="185">
        <f>IF(E24=0,0,E24/C24)</f>
        <v>0.87884184279240829</v>
      </c>
      <c r="E24" s="176">
        <f>SUM(E11:E14)</f>
        <v>2255372.7000000002</v>
      </c>
      <c r="F24" s="186">
        <f>E24/$E$28</f>
        <v>0.91448586004636967</v>
      </c>
      <c r="G24" s="3"/>
    </row>
    <row r="25" spans="2:10" ht="15" customHeight="1" x14ac:dyDescent="0.35">
      <c r="B25" s="183" t="s">
        <v>47</v>
      </c>
      <c r="C25" s="184">
        <f>SUM(C15:C17)</f>
        <v>253051</v>
      </c>
      <c r="D25" s="185">
        <f>IF(E25=0,0,E25/C25)</f>
        <v>0.5</v>
      </c>
      <c r="E25" s="176">
        <f>SUM(E15:E17)</f>
        <v>126525.5</v>
      </c>
      <c r="F25" s="186">
        <f>E25/$E$28</f>
        <v>5.1302288391314184E-2</v>
      </c>
      <c r="G25" s="3"/>
      <c r="H25" s="183" t="s">
        <v>48</v>
      </c>
      <c r="I25" s="168">
        <f>E28/I28</f>
        <v>4.0303138752571774</v>
      </c>
    </row>
    <row r="26" spans="2:10" ht="15" customHeight="1" x14ac:dyDescent="0.35">
      <c r="B26" s="183" t="s">
        <v>49</v>
      </c>
      <c r="C26" s="184">
        <f>C18+C19+C20</f>
        <v>158110</v>
      </c>
      <c r="D26" s="185">
        <f>IF(E26=0,0,E26/C26)</f>
        <v>0.5</v>
      </c>
      <c r="E26" s="176">
        <f>E18+E19+E20</f>
        <v>79055</v>
      </c>
      <c r="F26" s="186">
        <f>E26/$E$28</f>
        <v>3.2054427042575155E-2</v>
      </c>
      <c r="G26" s="3"/>
      <c r="H26" s="183" t="s">
        <v>50</v>
      </c>
      <c r="I26" s="168">
        <f>E24/($I$28-I22)</f>
        <v>168.11066636851521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5912</v>
      </c>
      <c r="D27" s="185">
        <f>IF(E27=0,0,E27/C27)</f>
        <v>0.9</v>
      </c>
      <c r="E27" s="176">
        <f>E21+E22</f>
        <v>5320.8</v>
      </c>
      <c r="F27" s="186">
        <f>E27/$E$28</f>
        <v>2.1574245197411158E-3</v>
      </c>
      <c r="G27" s="3"/>
      <c r="H27" s="183" t="s">
        <v>52</v>
      </c>
      <c r="I27" s="168">
        <f>(E25+E24)/$I$28</f>
        <v>3.8924293752073358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2983374</v>
      </c>
      <c r="D28" s="190">
        <f>E28/C28</f>
        <v>0.82667275373453009</v>
      </c>
      <c r="E28" s="191">
        <f>SUM(E24:E27)</f>
        <v>2466274</v>
      </c>
      <c r="F28" s="87"/>
      <c r="G28" s="3"/>
      <c r="H28" s="188" t="s">
        <v>15</v>
      </c>
      <c r="I28" s="161">
        <f>Inputs!C77</f>
        <v>611931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279425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126127</v>
      </c>
      <c r="D31" s="258">
        <f>Inputs!D61</f>
        <v>0.6</v>
      </c>
      <c r="E31" s="176">
        <f t="shared" ref="E31:E42" si="1">C31*D31</f>
        <v>75676.2</v>
      </c>
      <c r="F31" s="260"/>
      <c r="G31" s="3"/>
      <c r="H31" s="9" t="s">
        <v>56</v>
      </c>
      <c r="I31" s="175">
        <f>Inputs!C79</f>
        <v>20583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20583</v>
      </c>
      <c r="J34" s="3"/>
    </row>
    <row r="35" spans="2:10" ht="11.65" x14ac:dyDescent="0.35">
      <c r="B35" s="9" t="s">
        <v>62</v>
      </c>
      <c r="C35" s="175">
        <f>Inputs!C65</f>
        <v>1500</v>
      </c>
      <c r="D35" s="258">
        <f>Inputs!D65</f>
        <v>0.1</v>
      </c>
      <c r="E35" s="176">
        <f t="shared" si="1"/>
        <v>150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193915</v>
      </c>
      <c r="D38" s="258">
        <f>Inputs!D68</f>
        <v>0.1</v>
      </c>
      <c r="E38" s="176">
        <f t="shared" si="1"/>
        <v>19391.5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9704</v>
      </c>
      <c r="D40" s="258">
        <f>Inputs!D70</f>
        <v>0.05</v>
      </c>
      <c r="E40" s="176">
        <f t="shared" si="1"/>
        <v>485.20000000000005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76124</v>
      </c>
      <c r="D41" s="258">
        <f>Inputs!D71</f>
        <v>0.9</v>
      </c>
      <c r="E41" s="176">
        <f t="shared" si="1"/>
        <v>68511.600000000006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10363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405552</v>
      </c>
      <c r="D44" s="185">
        <f>IF(E44=0,0,E44/C44)</f>
        <v>0.18660048526452833</v>
      </c>
      <c r="E44" s="176">
        <f>SUM(E30:E31)</f>
        <v>75676.2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1500</v>
      </c>
      <c r="D45" s="185">
        <f>IF(E45=0,0,E45/C45)</f>
        <v>0.1</v>
      </c>
      <c r="E45" s="176">
        <f>SUM(E32:E35)</f>
        <v>150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193915</v>
      </c>
      <c r="D46" s="185">
        <f>IF(E46=0,0,E46/C46)</f>
        <v>0.1</v>
      </c>
      <c r="E46" s="176">
        <f>E36+E37+E38+E39</f>
        <v>19391.5</v>
      </c>
      <c r="F46" s="3"/>
      <c r="G46" s="3"/>
      <c r="H46" s="183" t="s">
        <v>73</v>
      </c>
      <c r="I46" s="168">
        <f>(E44+E24)/E64</f>
        <v>68.562278302303014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85828</v>
      </c>
      <c r="D47" s="185">
        <f>IF(E47=0,0,E47/C47)</f>
        <v>0.80389616442186707</v>
      </c>
      <c r="E47" s="176">
        <f>E40+E41+E42</f>
        <v>68996.800000000003</v>
      </c>
      <c r="F47" s="3"/>
      <c r="G47" s="3"/>
      <c r="H47" s="183" t="s">
        <v>75</v>
      </c>
      <c r="I47" s="168">
        <f>(E44+E45+E24+E25)/$I$49</f>
        <v>3.8230087559517614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686795</v>
      </c>
      <c r="D48" s="195">
        <f>E48/C48</f>
        <v>0.23910264343799822</v>
      </c>
      <c r="E48" s="196">
        <f>SUM(E30:E42)</f>
        <v>164214.5</v>
      </c>
      <c r="F48" s="3"/>
      <c r="G48" s="3"/>
      <c r="H48" s="91" t="s">
        <v>77</v>
      </c>
      <c r="I48" s="197">
        <f>I49-I28</f>
        <v>30946</v>
      </c>
      <c r="J48" s="187"/>
    </row>
    <row r="49" spans="2:11" ht="15" customHeight="1" thickTop="1" x14ac:dyDescent="0.35">
      <c r="B49" s="9" t="s">
        <v>13</v>
      </c>
      <c r="C49" s="184">
        <f>Inputs!C41+Inputs!C37</f>
        <v>3670169</v>
      </c>
      <c r="D49" s="170">
        <f>E49/C49</f>
        <v>0.71672135533813297</v>
      </c>
      <c r="E49" s="176">
        <f>E28+E48</f>
        <v>2630488.5</v>
      </c>
      <c r="F49" s="3"/>
      <c r="G49" s="3"/>
      <c r="H49" s="9" t="s">
        <v>78</v>
      </c>
      <c r="I49" s="175">
        <f>Inputs!C37</f>
        <v>642877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3990</v>
      </c>
      <c r="D53" s="34">
        <f>IF(E53=0, 0,E53/C53)</f>
        <v>1</v>
      </c>
      <c r="E53" s="176">
        <f>IF(C53=0,0,MAX(C53,C53*Dashboard!G23))</f>
        <v>3990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33999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380678</v>
      </c>
      <c r="D61" s="170">
        <f t="shared" ref="D61:D70" si="2">IF(E61=0,0,E61/C61)</f>
        <v>0.53155606575636105</v>
      </c>
      <c r="E61" s="182">
        <f>E14+E15+(E19*G19)+(E20*G20)+E31+E32+(E35*G35)+(E36*G36)+(E37*G37)</f>
        <v>202351.7</v>
      </c>
      <c r="F61" s="3"/>
      <c r="G61" s="3"/>
      <c r="H61" s="2" t="s">
        <v>253</v>
      </c>
      <c r="I61" s="203">
        <f>C99*Data!$C$4/Common_Shares</f>
        <v>1.5858201643409771</v>
      </c>
      <c r="K61" s="172"/>
    </row>
    <row r="62" spans="2:11" ht="11.65" x14ac:dyDescent="0.35">
      <c r="B62" s="12" t="s">
        <v>127</v>
      </c>
      <c r="C62" s="204">
        <f>C11+C30</f>
        <v>2664732</v>
      </c>
      <c r="D62" s="205">
        <f t="shared" si="2"/>
        <v>0.80562559386835164</v>
      </c>
      <c r="E62" s="206">
        <f>E11+E30</f>
        <v>2146776.3000000003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3045410</v>
      </c>
      <c r="D63" s="34">
        <f t="shared" si="2"/>
        <v>0.77136674536433536</v>
      </c>
      <c r="E63" s="184">
        <f>E61+E62</f>
        <v>2349128.0000000005</v>
      </c>
      <c r="F63" s="3"/>
      <c r="G63" s="3"/>
      <c r="H63" s="2" t="s">
        <v>254</v>
      </c>
      <c r="I63" s="207">
        <f>IF(I61&gt;0,FV(I62,D93,0,-I61),I61)</f>
        <v>1.7037885117182925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33999</v>
      </c>
      <c r="F64" s="3"/>
      <c r="G64" s="3"/>
      <c r="H64" s="2" t="s">
        <v>255</v>
      </c>
      <c r="I64" s="207">
        <f>IF(I61&gt;0,PV(C94,D93,0,-I63),I61)</f>
        <v>0.97414661137905767</v>
      </c>
      <c r="K64" s="172"/>
    </row>
    <row r="65" spans="1:11" ht="12" thickTop="1" x14ac:dyDescent="0.35">
      <c r="B65" s="9" t="s">
        <v>130</v>
      </c>
      <c r="C65" s="202">
        <f>C63-E64</f>
        <v>3011411</v>
      </c>
      <c r="D65" s="34">
        <f t="shared" si="2"/>
        <v>0.76878546302713258</v>
      </c>
      <c r="E65" s="184">
        <f>E63-E64</f>
        <v>2315129.0000000005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624759</v>
      </c>
      <c r="D68" s="34">
        <f t="shared" si="2"/>
        <v>0.45035045513549948</v>
      </c>
      <c r="E68" s="202">
        <f>E49-E63</f>
        <v>281360.49999999953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608878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15881</v>
      </c>
      <c r="D70" s="34">
        <f t="shared" si="2"/>
        <v>-20.62322901580508</v>
      </c>
      <c r="E70" s="202">
        <f>E68-E69</f>
        <v>-327517.50000000047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1615585</v>
      </c>
      <c r="D74" s="98"/>
      <c r="E74" s="256">
        <f>Inputs!E91</f>
        <v>1615585</v>
      </c>
      <c r="F74" s="98"/>
      <c r="H74" s="256">
        <f>Inputs!F91</f>
        <v>1615585</v>
      </c>
      <c r="I74" s="98"/>
      <c r="K74" s="75"/>
    </row>
    <row r="75" spans="1:11" ht="15" customHeight="1" x14ac:dyDescent="0.35">
      <c r="B75" s="100" t="s">
        <v>97</v>
      </c>
      <c r="C75" s="97">
        <f>Data!C8</f>
        <v>897327</v>
      </c>
      <c r="D75" s="101">
        <f>C75/$C$74</f>
        <v>0.55541924442229906</v>
      </c>
      <c r="E75" s="256">
        <f>Inputs!E92</f>
        <v>897327</v>
      </c>
      <c r="F75" s="211">
        <f>E75/E74</f>
        <v>0.55541924442229906</v>
      </c>
      <c r="H75" s="256">
        <f>Inputs!F92</f>
        <v>897327</v>
      </c>
      <c r="I75" s="211">
        <f>H75/$H$74</f>
        <v>0.55541924442229906</v>
      </c>
      <c r="K75" s="75"/>
    </row>
    <row r="76" spans="1:11" ht="15" customHeight="1" x14ac:dyDescent="0.35">
      <c r="B76" s="12" t="s">
        <v>87</v>
      </c>
      <c r="C76" s="145">
        <f>C74-C75</f>
        <v>718258</v>
      </c>
      <c r="D76" s="212"/>
      <c r="E76" s="213">
        <f>E74-E75</f>
        <v>718258</v>
      </c>
      <c r="F76" s="212"/>
      <c r="H76" s="213">
        <f>H74-H75</f>
        <v>718258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613104</v>
      </c>
      <c r="D77" s="101">
        <f>C77/$C$74</f>
        <v>0.37949349616392825</v>
      </c>
      <c r="E77" s="256">
        <f>Inputs!E93</f>
        <v>613104</v>
      </c>
      <c r="F77" s="211">
        <f>E77/E74</f>
        <v>0.37949349616392825</v>
      </c>
      <c r="H77" s="256">
        <f>Inputs!F93</f>
        <v>613104</v>
      </c>
      <c r="I77" s="211">
        <f>H77/$H$74</f>
        <v>0.37949349616392825</v>
      </c>
      <c r="K77" s="75"/>
    </row>
    <row r="78" spans="1:11" ht="15" customHeight="1" x14ac:dyDescent="0.35">
      <c r="B78" s="93" t="s">
        <v>150</v>
      </c>
      <c r="C78" s="97">
        <f>MAX(Data!C12,0)</f>
        <v>2932</v>
      </c>
      <c r="D78" s="101">
        <f>C78/$C$74</f>
        <v>1.8148224946381651E-3</v>
      </c>
      <c r="E78" s="214">
        <f>E74*F78</f>
        <v>2932</v>
      </c>
      <c r="F78" s="211">
        <f>I78</f>
        <v>1.8148224946381651E-3</v>
      </c>
      <c r="H78" s="256">
        <f>Inputs!F97</f>
        <v>2932</v>
      </c>
      <c r="I78" s="211">
        <f>H78/$H$74</f>
        <v>1.8148224946381651E-3</v>
      </c>
      <c r="K78" s="75"/>
    </row>
    <row r="79" spans="1:11" ht="15" customHeight="1" x14ac:dyDescent="0.35">
      <c r="B79" s="215" t="s">
        <v>203</v>
      </c>
      <c r="C79" s="216">
        <f>C76-C77-C78</f>
        <v>102222</v>
      </c>
      <c r="D79" s="217">
        <f>C79/C74</f>
        <v>6.3272436919134561E-2</v>
      </c>
      <c r="E79" s="218">
        <f>E76-E77-E78</f>
        <v>102222</v>
      </c>
      <c r="F79" s="217">
        <f>E79/E74</f>
        <v>6.3272436919134561E-2</v>
      </c>
      <c r="G79" s="219"/>
      <c r="H79" s="218">
        <f>H76-H77-H78</f>
        <v>102222</v>
      </c>
      <c r="I79" s="217">
        <f>H79/H74</f>
        <v>6.3272436919134561E-2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1003</v>
      </c>
      <c r="D81" s="101">
        <f>C81/$C$74</f>
        <v>6.208277497005729E-4</v>
      </c>
      <c r="E81" s="214">
        <f>E74*F81</f>
        <v>1003.0000000000001</v>
      </c>
      <c r="F81" s="211">
        <f>I81</f>
        <v>6.208277497005729E-4</v>
      </c>
      <c r="H81" s="256">
        <f>Inputs!F94</f>
        <v>1003.0000000000001</v>
      </c>
      <c r="I81" s="211">
        <f>H81/$H$74</f>
        <v>6.208277497005729E-4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20662</v>
      </c>
      <c r="D82" s="101">
        <f>C82/$C$74</f>
        <v>1.2789175437999239E-2</v>
      </c>
      <c r="E82" s="256">
        <f>Inputs!E95</f>
        <v>20662</v>
      </c>
      <c r="F82" s="211">
        <f>E82/E74</f>
        <v>1.2789175437999239E-2</v>
      </c>
      <c r="H82" s="256">
        <f>Inputs!F95</f>
        <v>20662</v>
      </c>
      <c r="I82" s="211">
        <f>H82/$H$74</f>
        <v>1.2789175437999239E-2</v>
      </c>
      <c r="K82" s="75"/>
    </row>
    <row r="83" spans="1:11" ht="15" customHeight="1" thickBot="1" x14ac:dyDescent="0.4">
      <c r="B83" s="221" t="s">
        <v>113</v>
      </c>
      <c r="C83" s="222">
        <f>C79-C81-C82-C80</f>
        <v>80557</v>
      </c>
      <c r="D83" s="223">
        <f>C83/$C$74</f>
        <v>4.9862433731434744E-2</v>
      </c>
      <c r="E83" s="224">
        <f>E79-E81-E82-E80</f>
        <v>80557</v>
      </c>
      <c r="F83" s="223">
        <f>E83/E74</f>
        <v>4.9862433731434744E-2</v>
      </c>
      <c r="H83" s="224">
        <f>H79-H81-H82-H80</f>
        <v>80557</v>
      </c>
      <c r="I83" s="223">
        <f>H83/$H$74</f>
        <v>4.9862433731434744E-2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60417.75</v>
      </c>
      <c r="D85" s="217">
        <f>C85/$C$74</f>
        <v>3.7396825298576054E-2</v>
      </c>
      <c r="E85" s="229">
        <f>E83*(1-F84)</f>
        <v>60417.75</v>
      </c>
      <c r="F85" s="217">
        <f>E85/E74</f>
        <v>3.7396825298576054E-2</v>
      </c>
      <c r="G85" s="219"/>
      <c r="H85" s="229">
        <f>H83*(1-I84)</f>
        <v>60417.75</v>
      </c>
      <c r="I85" s="217">
        <f>H85/$H$74</f>
        <v>3.7396825298576054E-2</v>
      </c>
      <c r="K85" s="75"/>
    </row>
    <row r="86" spans="1:11" ht="15" customHeight="1" x14ac:dyDescent="0.35">
      <c r="B86" s="3" t="s">
        <v>143</v>
      </c>
      <c r="C86" s="230">
        <f>C85*Data!C4/Common_Shares</f>
        <v>4.5313306835836648E-2</v>
      </c>
      <c r="D86" s="98"/>
      <c r="E86" s="231">
        <f>E85*Data!C4/Common_Shares</f>
        <v>4.5313306835836648E-2</v>
      </c>
      <c r="F86" s="98"/>
      <c r="H86" s="231">
        <f>H85*Data!C4/Common_Shares</f>
        <v>4.5313306835836648E-2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2.6929851077554478E-2</v>
      </c>
      <c r="D87" s="98"/>
      <c r="E87" s="233">
        <f>E86*Exchange_Rate/Dashboard!G3</f>
        <v>2.6929851077554478E-2</v>
      </c>
      <c r="F87" s="98"/>
      <c r="H87" s="233">
        <f>H86*Exchange_Rate/Dashboard!G3</f>
        <v>2.6929851077554478E-2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0.1178</v>
      </c>
      <c r="D88" s="235">
        <f>C88/C86</f>
        <v>2.5996778479834153</v>
      </c>
      <c r="E88" s="255">
        <f>Inputs!E98</f>
        <v>0.1178</v>
      </c>
      <c r="F88" s="235">
        <f>E88/E86</f>
        <v>2.5996778479834153</v>
      </c>
      <c r="H88" s="255">
        <f>Inputs!F98</f>
        <v>0.1178</v>
      </c>
      <c r="I88" s="235">
        <f>H88/H86</f>
        <v>2.5996778479834153</v>
      </c>
      <c r="K88" s="75"/>
    </row>
    <row r="89" spans="1:11" ht="15" customHeight="1" x14ac:dyDescent="0.35">
      <c r="B89" s="3" t="s">
        <v>193</v>
      </c>
      <c r="C89" s="232">
        <f>C88*Exchange_Rate/Dashboard!G3</f>
        <v>7.0008937295810689E-2</v>
      </c>
      <c r="D89" s="98"/>
      <c r="E89" s="232">
        <f>E88*Exchange_Rate/Dashboard!G3</f>
        <v>7.0008937295810689E-2</v>
      </c>
      <c r="F89" s="98"/>
      <c r="H89" s="232">
        <f>H88*Exchange_Rate/Dashboard!G3</f>
        <v>7.0008937295810689E-2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0.89350882291811806</v>
      </c>
      <c r="H93" s="3" t="s">
        <v>182</v>
      </c>
      <c r="I93" s="237">
        <f>FV(H87,D93,0,-(H86/(C93-D94)))*Exchange_Rate</f>
        <v>0.89350882291811806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2.7378199674302661</v>
      </c>
      <c r="H94" s="3" t="s">
        <v>183</v>
      </c>
      <c r="I94" s="237">
        <f>FV(H89,D93,0,-(H88/(C93-D94)))*Exchange_Rate</f>
        <v>2.7378199674302661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681155.51110368827</v>
      </c>
      <c r="D97" s="244"/>
      <c r="E97" s="245">
        <f>PV(C94,D93,0,-F93)</f>
        <v>0.51086656946944498</v>
      </c>
      <c r="F97" s="244"/>
      <c r="H97" s="245">
        <f>PV(C94,D93,0,-I93)</f>
        <v>0.51086656946944498</v>
      </c>
      <c r="I97" s="245">
        <f>PV(C93,D93,0,-I93)</f>
        <v>0.65675565858183649</v>
      </c>
      <c r="K97" s="75"/>
    </row>
    <row r="98" spans="2:11" ht="15" customHeight="1" x14ac:dyDescent="0.35">
      <c r="B98" s="18" t="s">
        <v>132</v>
      </c>
      <c r="C98" s="243">
        <f>-E53*Exchange_Rate</f>
        <v>-4244.5741176605225</v>
      </c>
      <c r="D98" s="244"/>
      <c r="E98" s="244"/>
      <c r="F98" s="244"/>
      <c r="H98" s="245">
        <f>C98*Data!$C$4/Common_Shares</f>
        <v>-3.183430190316618E-3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2114427.1500913301</v>
      </c>
      <c r="D99" s="248"/>
      <c r="E99" s="249">
        <f>IF(H99&gt;0,I64,H99)</f>
        <v>0.97414661137905767</v>
      </c>
      <c r="F99" s="248"/>
      <c r="H99" s="249">
        <f>I64</f>
        <v>0.97414661137905767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1.2595552880594583</v>
      </c>
      <c r="E100" s="251">
        <f>MAX(E97+H98+E99,0)</f>
        <v>1.4818297506581861</v>
      </c>
      <c r="F100" s="251">
        <f>(E100+H100)/2</f>
        <v>1.4818297506581861</v>
      </c>
      <c r="H100" s="251">
        <f>MAX(H97+H98+H99,0)</f>
        <v>1.4818297506581861</v>
      </c>
      <c r="I100" s="251">
        <f>MAX(I97+H98+H99,0)</f>
        <v>1.6277188397705775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1.3305538343935175</v>
      </c>
      <c r="E103" s="245">
        <f>PV(C94,D93,0,-F94)</f>
        <v>1.5653574522276676</v>
      </c>
      <c r="F103" s="251">
        <f>(E103+H103)/2</f>
        <v>1.5653574522276676</v>
      </c>
      <c r="H103" s="245">
        <f>PV(C94,D93,0,-I94)</f>
        <v>1.5653574522276676</v>
      </c>
      <c r="I103" s="251">
        <f>PV(C93,D93,0,-I94)</f>
        <v>2.0123794076434591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1.2950545612264879</v>
      </c>
      <c r="E106" s="245">
        <f>(E100+E103)/2</f>
        <v>1.523593601442927</v>
      </c>
      <c r="F106" s="251">
        <f>(F100+F103)/2</f>
        <v>1.523593601442927</v>
      </c>
      <c r="H106" s="245">
        <f>(H100+H103)/2</f>
        <v>1.523593601442927</v>
      </c>
      <c r="I106" s="245">
        <f>(I100+I103)/2</f>
        <v>1.8200491237070184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