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01B6046-6977-488B-A33F-89E78D926C35}" xr6:coauthVersionLast="47" xr6:coauthVersionMax="47" xr10:uidLastSave="{00000000-0000-0000-0000-000000000000}"/>
  <bookViews>
    <workbookView xWindow="2205" yWindow="2205" windowWidth="12690" windowHeight="7642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2" i="4"/>
  <c r="D63" i="4" s="1"/>
  <c r="D61" i="4"/>
  <c r="D60" i="4"/>
  <c r="D59" i="4"/>
  <c r="D58" i="4"/>
  <c r="D71" i="4" s="1"/>
  <c r="D55" i="4"/>
  <c r="D50" i="4"/>
  <c r="D56" i="4" s="1"/>
  <c r="D27" i="4"/>
  <c r="E26" i="4"/>
  <c r="D26" i="4"/>
  <c r="C26" i="4"/>
  <c r="F96" i="4" l="1"/>
  <c r="E92" i="4"/>
  <c r="F97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<sst xmlns="http://schemas.openxmlformats.org/spreadsheetml/2006/main" count="405" uniqueCount="288">
  <si>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</si>
  <si>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</si>
  <si>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</si>
  <si>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</si>
  <si>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</si>
  <si>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</si>
  <si>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</si>
  <si>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</si>
  <si>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</si>
  <si>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</si>
  <si>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</si>
  <si>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</si>
  <si>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</si>
  <si>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</si>
  <si>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</si>
  <si>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</si>
  <si>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</si>
  <si>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</si>
  <si>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</si>
  <si>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</si>
  <si>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</si>
  <si>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</si>
  <si>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</si>
  <si>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</si>
  <si>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</si>
  <si>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</si>
  <si>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</si>
  <si>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</si>
  <si>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</si>
  <si>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</si>
  <si>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</si>
  <si>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</si>
  <si>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</si>
  <si>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</si>
  <si>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</si>
  <si>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</si>
  <si>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</si>
  <si>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</si>
  <si>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</si>
  <si>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</si>
  <si>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</si>
  <si>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</si>
  <si>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</si>
  <si>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</si>
  <si>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</si>
  <si>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</si>
  <si>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</si>
  <si>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</si>
  <si>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</si>
  <si>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</si>
  <si>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</si>
  <si>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</si>
  <si>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</si>
  <si>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</si>
  <si>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</si>
  <si>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</si>
  <si>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</si>
  <si>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</si>
  <si>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</si>
  <si>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</si>
  <si>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</si>
  <si>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</si>
  <si>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</si>
  <si>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</si>
  <si>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</si>
  <si>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</si>
  <si>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</si>
  <si>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</si>
  <si>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</si>
  <si>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</si>
  <si>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</si>
  <si>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</si>
  <si>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</si>
  <si>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</si>
  <si>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</si>
  <si>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</si>
  <si>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</si>
  <si>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</si>
  <si>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</si>
  <si>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</si>
  <si>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</si>
  <si>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</si>
  <si>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</si>
  <si>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</si>
  <si>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</si>
  <si>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</si>
  <si>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</si>
  <si>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</si>
  <si>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</si>
  <si>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</si>
  <si>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</si>
  <si>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</si>
  <si>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</si>
  <si>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</si>
  <si>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</si>
  <si>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</si>
  <si>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</si>
  <si>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</si>
  <si>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</si>
  <si>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</si>
  <si>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</si>
  <si>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</si>
  <si>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</si>
  <si>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</si>
  <si>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</si>
  <si>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</si>
  <si>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</si>
  <si>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</si>
  <si>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</si>
  <si>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</si>
  <si>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</si>
  <si>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</si>
  <si>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</si>
  <si>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</si>
  <si>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</si>
  <si>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</si>
  <si>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</si>
  <si>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</si>
  <si>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</si>
  <si>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</si>
  <si>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</si>
  <si>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</si>
  <si>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</si>
  <si>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</si>
  <si>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</si>
  <si>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</si>
  <si>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</si>
  <si>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</si>
  <si>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</si>
  <si>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</si>
  <si>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</si>
  <si>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</si>
  <si>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</si>
  <si>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</si>
  <si>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</si>
  <si>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</si>
  <si>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</si>
  <si>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</si>
  <si>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</si>
  <si>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</si>
  <si>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</si>
  <si>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</si>
  <si>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</si>
  <si>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</si>
  <si>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</si>
  <si>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</si>
  <si>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</si>
  <si>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</si>
  <si>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</si>
  <si>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</si>
  <si>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</si>
  <si>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</si>
  <si>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</si>
  <si>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</si>
  <si>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</si>
  <si>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</si>
  <si>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</si>
  <si>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</si>
  <si>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</si>
  <si>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</si>
  <si>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</si>
  <si>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</si>
  <si>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</si>
  <si>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</si>
  <si>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</si>
  <si>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</si>
  <si>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</si>
  <si>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</si>
  <si>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</si>
  <si>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</si>
  <si>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</si>
  <si>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</si>
  <si>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</si>
  <si>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</si>
  <si>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</si>
  <si>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</si>
  <si>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</si>
  <si>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</si>
  <si>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</si>
  <si>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</si>
  <si>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</si>
  <si>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</si>
  <si>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</si>
  <si>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</si>
  <si>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</si>
  <si>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</si>
  <si>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</si>
  <si>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</si>
  <si>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</si>
  <si>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</si>
  <si>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</si>
  <si>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</si>
  <si>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</si>
  <si>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</si>
  <si>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</si>
  <si>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</si>
  <si>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</si>
  <si>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</si>
  <si>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</si>
  <si>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</si>
  <si>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</si>
  <si>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</si>
  <si>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</si>
  <si>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</si>
  <si>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</si>
  <si>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</si>
  <si>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</si>
  <si>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</si>
  <si>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</si>
  <si>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</si>
  <si>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</si>
  <si>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</si>
  <si>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</si>
  <si>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</si>
  <si>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</si>
  <si>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</si>
  <si>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</si>
  <si>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</si>
  <si>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</si>
  <si>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</si>
  <si>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</si>
  <si>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</si>
  <si>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</si>
  <si>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</si>
  <si>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</si>
  <si>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</si>
  <si>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</si>
  <si>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</si>
  <si>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</si>
  <si>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</si>
  <si>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</si>
  <si>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</si>
  <si>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</si>
  <si>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</si>
  <si>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</si>
  <si>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</si>
  <si>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</si>
  <si>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</si>
  <si>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</si>
  <si>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</si>
  <si>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</si>
  <si>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</si>
  <si>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</si>
  <si>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</si>
  <si>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</si>
  <si>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</si>
  <si>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</si>
  <si>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</si>
  <si>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</si>
  <si>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</si>
  <si>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</si>
  <si>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</si>
  <si>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</si>
  <si>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</si>
  <si>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</si>
  <si>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</si>
  <si>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</si>
  <si>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</si>
  <si>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</si>
  <si>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</si>
  <si>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</si>
  <si>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</si>
  <si>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</si>
  <si>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</si>
  <si>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</si>
  <si>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</si>
  <si>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</si>
  <si>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</si>
  <si>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</si>
  <si>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</si>
  <si>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</si>
  <si>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</si>
  <si>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</si>
  <si>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</si>
  <si>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</si>
  <si>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</si>
  <si>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</si>
  <si>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</si>
  <si>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</si>
  <si>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</si>
  <si>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</si>
  <si>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</si>
  <si>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</si>
  <si>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</si>
  <si>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9618.HK</t>
  </si>
  <si>
    <t>京东-SW</t>
  </si>
  <si>
    <t>C0009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</si>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</sst>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45643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2899000064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1084662</v>
      </c>
      <c r="D25" s="77">
        <v>1046236</v>
      </c>
      <c r="E25" s="77">
        <v>951592</v>
      </c>
      <c r="F25" s="77">
        <v>745802</v>
      </c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f>924958+64558</f>
        <v>989516</v>
      </c>
      <c r="D26" s="78">
        <f>899163+63001</f>
        <v>962164</v>
      </c>
      <c r="E26" s="78">
        <f>822526+59055</f>
        <v>881581</v>
      </c>
      <c r="F26" s="78">
        <v>636694</v>
      </c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49843</v>
      </c>
      <c r="D27" s="78">
        <f>37772+11053</f>
        <v>48825</v>
      </c>
      <c r="E27" s="78">
        <v>50305</v>
      </c>
      <c r="F27" s="78">
        <v>33565</v>
      </c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>
        <v>16393</v>
      </c>
      <c r="D28" s="78">
        <v>16893</v>
      </c>
      <c r="E28" s="78">
        <v>16332</v>
      </c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2881</v>
      </c>
      <c r="D29" s="78">
        <v>2106</v>
      </c>
      <c r="E29" s="78">
        <v>1213</v>
      </c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v>332578</v>
      </c>
      <c r="D37" s="78">
        <v>321127</v>
      </c>
      <c r="E37" s="78">
        <v>249723</v>
      </c>
      <c r="F37" s="78">
        <v>200669</v>
      </c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296380</v>
      </c>
      <c r="D41" s="302">
        <v>274123</v>
      </c>
      <c r="E41" s="302">
        <v>246784</v>
      </c>
      <c r="F41" s="302">
        <v>221619</v>
      </c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64522</v>
      </c>
      <c r="D42" s="78">
        <v>60757</v>
      </c>
      <c r="E42" s="78">
        <v>37873</v>
      </c>
      <c r="F42" s="78">
        <v>34076</v>
      </c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2.3252845295556366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1.8201948082768139E-2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Sheet- Error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0.3</v>
      </c>
      <c r="E66" s="261" t="s">
        <v>63</v>
      </c>
    </row>
    <row r="67" spans="2:5" x14ac:dyDescent="0.35">
      <c r="B67" s="2" t="s">
        <v>41</v>
      </c>
      <c r="C67" s="86"/>
      <c r="D67" s="109">
        <v>0.2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0.03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1084662</v>
      </c>
      <c r="D91" s="98"/>
      <c r="E91" s="99">
        <f>C91</f>
        <v>1084662</v>
      </c>
      <c r="F91" s="99">
        <f>C91</f>
        <v>1084662</v>
      </c>
    </row>
    <row r="92" spans="2:8" x14ac:dyDescent="0.35">
      <c r="B92" s="100" t="s">
        <v>97</v>
      </c>
      <c r="C92" s="97">
        <f>C26</f>
        <v>989516</v>
      </c>
      <c r="D92" s="101">
        <f>C92/C91</f>
        <v>0.91228050766045088</v>
      </c>
      <c r="E92" s="102">
        <f>E91*D92</f>
        <v>989516</v>
      </c>
      <c r="F92" s="102">
        <f>F91*D92</f>
        <v>989516</v>
      </c>
    </row>
    <row r="93" spans="2:8" x14ac:dyDescent="0.35">
      <c r="B93" s="100" t="s">
        <v>216</v>
      </c>
      <c r="C93" s="97">
        <f>C27+C28</f>
        <v>66236</v>
      </c>
      <c r="D93" s="101">
        <f>C93/C91</f>
        <v>6.1066027942345176E-2</v>
      </c>
      <c r="E93" s="102">
        <f>E91*D93</f>
        <v>66236</v>
      </c>
      <c r="F93" s="102">
        <f>F91*D93</f>
        <v>66236</v>
      </c>
    </row>
    <row r="94" spans="2:8" x14ac:dyDescent="0.35">
      <c r="B94" s="100" t="s">
        <v>222</v>
      </c>
      <c r="C94" s="97">
        <f>C29</f>
        <v>2881</v>
      </c>
      <c r="D94" s="101">
        <f>C94/C91</f>
        <v>2.6561269778050674E-3</v>
      </c>
      <c r="E94" s="103"/>
      <c r="F94" s="102">
        <f>F91*D94</f>
        <v>2881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2.3252845295556366</v>
      </c>
      <c r="D98" s="105"/>
      <c r="E98" s="106">
        <f>F98</f>
        <v>2.3252845295556366</v>
      </c>
      <c r="F98" s="106">
        <f>C98</f>
        <v>2.3252845295556366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9618.HK : 京东-SW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9618.HK</v>
      </c>
      <c r="D3" s="317"/>
      <c r="E3" s="3"/>
      <c r="F3" s="9" t="s">
        <v>1</v>
      </c>
      <c r="G3" s="10">
        <v>135.9</v>
      </c>
      <c r="H3" s="11" t="s">
        <v>256</v>
      </c>
    </row>
    <row r="4" spans="1:10" ht="15.75" customHeight="1" x14ac:dyDescent="0.35">
      <c r="B4" s="12" t="s">
        <v>168</v>
      </c>
      <c r="C4" s="318" t="str">
        <f>Inputs!C5</f>
        <v>京东-SW</v>
      </c>
      <c r="D4" s="319"/>
      <c r="E4" s="3"/>
      <c r="F4" s="9" t="s">
        <v>2</v>
      </c>
      <c r="G4" s="322">
        <f>Inputs!C10</f>
        <v>2899000064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45643</v>
      </c>
      <c r="D5" s="321"/>
      <c r="E5" s="16"/>
      <c r="F5" s="12" t="s">
        <v>91</v>
      </c>
      <c r="G5" s="314">
        <f>G3*G4/1000000</f>
        <v>393974.10869760002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C0009</v>
      </c>
      <c r="E7" s="3"/>
      <c r="F7" s="12" t="s">
        <v>5</v>
      </c>
      <c r="G7" s="21">
        <v>1.0638030370076497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0.1246883868574731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2.6653464397203921E-2</v>
      </c>
      <c r="F21" s="3"/>
      <c r="G21" s="34"/>
    </row>
    <row r="22" spans="1:8" ht="15.75" customHeight="1" x14ac:dyDescent="0.35">
      <c r="B22" s="35" t="s">
        <v>244</v>
      </c>
      <c r="C22" s="36">
        <f>Data!C50</f>
        <v>1.7245380454656749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2.7126862131131988</v>
      </c>
      <c r="F23" s="39" t="s">
        <v>163</v>
      </c>
      <c r="G23" s="40">
        <f>G3/(Data!C36*Data!C4/Common_Shares*Exchange_Rate)</f>
        <v>1.249561288140032</v>
      </c>
    </row>
    <row r="24" spans="1:8" ht="15.75" customHeight="1" x14ac:dyDescent="0.35">
      <c r="B24" s="41" t="s">
        <v>239</v>
      </c>
      <c r="C24" s="42">
        <f>Fin_Analysis!I81</f>
        <v>2.6561269778050674E-3</v>
      </c>
      <c r="F24" s="39" t="s">
        <v>224</v>
      </c>
      <c r="G24" s="43">
        <f>G3/(Fin_Analysis!H86*G7)</f>
        <v>18.970890139405672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0.34530715740136003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1.8201948082768139E-2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223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13">
        <f>IF(Fin_Analysis!C108="Profit",Fin_Analysis!I100,IF(Fin_Analysis!C108="Dividend",Fin_Analysis!I103,Fin_Analysis!I106))</f>
        <v>0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28910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1084662</v>
      </c>
      <c r="D6" s="142">
        <f>IF(Inputs!D25="","",Inputs!D25)</f>
        <v>1046236</v>
      </c>
      <c r="E6" s="142">
        <f>IF(Inputs!E25="","",Inputs!E25)</f>
        <v>951592</v>
      </c>
      <c r="F6" s="142">
        <f>IF(Inputs!F25="","",Inputs!F25)</f>
        <v>745802</v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3.6727851077577034E-2</v>
      </c>
      <c r="D7" s="143">
        <f t="shared" si="1"/>
        <v>9.945859149719638E-2</v>
      </c>
      <c r="E7" s="143">
        <f t="shared" si="1"/>
        <v>0.27593114526375628</v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989516</v>
      </c>
      <c r="D8" s="144">
        <f>IF(Inputs!D26="","",Inputs!D26)</f>
        <v>962164</v>
      </c>
      <c r="E8" s="144">
        <f>IF(Inputs!E26="","",Inputs!E26)</f>
        <v>881581</v>
      </c>
      <c r="F8" s="144">
        <f>IF(Inputs!F26="","",Inputs!F26)</f>
        <v>636694</v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95146</v>
      </c>
      <c r="D9" s="273">
        <f t="shared" si="2"/>
        <v>84072</v>
      </c>
      <c r="E9" s="273">
        <f t="shared" si="2"/>
        <v>70011</v>
      </c>
      <c r="F9" s="273">
        <f t="shared" si="2"/>
        <v>109108</v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49843</v>
      </c>
      <c r="D10" s="144">
        <f>IF(Inputs!D27="","",Inputs!D27)</f>
        <v>48825</v>
      </c>
      <c r="E10" s="144">
        <f>IF(Inputs!E27="","",Inputs!E27)</f>
        <v>50305</v>
      </c>
      <c r="F10" s="144">
        <f>IF(Inputs!F27="","",Inputs!F27)</f>
        <v>33565</v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>
        <f>IF(Inputs!C28="","",Inputs!C28)</f>
        <v>16393</v>
      </c>
      <c r="D11" s="144">
        <f>IF(Inputs!D28="","",Inputs!D28)</f>
        <v>16893</v>
      </c>
      <c r="E11" s="144">
        <f>IF(Inputs!E28="","",Inputs!E28)</f>
        <v>16332</v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 t="str">
        <f>IF(Inputs!C31="","",MAX(Inputs!C31,0)/(1-Fin_Analysis!$I$84))</f>
        <v/>
      </c>
      <c r="D12" s="144" t="str">
        <f>IF(Inputs!D31="","",MAX(Inputs!D31,0)/(1-Fin_Analysis!$I$84))</f>
        <v/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2.6653464397203921E-2</v>
      </c>
      <c r="D13" s="292">
        <f t="shared" si="3"/>
        <v>1.7542887073279834E-2</v>
      </c>
      <c r="E13" s="292">
        <f t="shared" si="3"/>
        <v>3.5456372058613357E-3</v>
      </c>
      <c r="F13" s="292">
        <f t="shared" si="3"/>
        <v>0.10129095926264611</v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28910</v>
      </c>
      <c r="D14" s="294">
        <f t="shared" ref="D14:M14" si="4">IF(D6="","",D9-D10-MAX(D11,0)-MAX(D12,0))</f>
        <v>18354</v>
      </c>
      <c r="E14" s="294">
        <f t="shared" si="4"/>
        <v>3374</v>
      </c>
      <c r="F14" s="294">
        <f t="shared" si="4"/>
        <v>75543</v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0.57513348588863467</v>
      </c>
      <c r="D15" s="296">
        <f t="shared" ref="D15:M15" si="5">IF(E14="","",IF(ABS(D14+E14)=ABS(D14)+ABS(E14),IF(D14&lt;0,-1,1)*(D14-E14)/E14,"Turn"))</f>
        <v>4.4398340248962658</v>
      </c>
      <c r="E15" s="296">
        <f t="shared" si="5"/>
        <v>-0.95533669565677826</v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 t="str">
        <f t="shared" ref="D16:M16" si="6">IF(D17="","",D17-D14)</f>
        <v/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 t="str">
        <f>IF(Inputs!D30="","",Inputs!D30)</f>
        <v/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2881</v>
      </c>
      <c r="D19" s="144">
        <f>IF(Inputs!D29="","",Inputs!D29)</f>
        <v>2106</v>
      </c>
      <c r="E19" s="144">
        <f>IF(Inputs!E29="","",Inputs!E29)</f>
        <v>1213</v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>
        <f t="shared" si="8"/>
        <v>0</v>
      </c>
      <c r="F22" s="227">
        <f t="shared" si="8"/>
        <v>0</v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26029</v>
      </c>
      <c r="D24" s="309">
        <f t="shared" si="9"/>
        <v>16248</v>
      </c>
      <c r="E24" s="309">
        <f t="shared" si="9"/>
        <v>2161</v>
      </c>
      <c r="F24" s="309">
        <f t="shared" si="9"/>
        <v>75543</v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1.7998003064549142E-2</v>
      </c>
      <c r="D25" s="143">
        <f t="shared" si="10"/>
        <v>1.1647467684155392E-2</v>
      </c>
      <c r="E25" s="143">
        <f t="shared" si="10"/>
        <v>1.7031984295790632E-3</v>
      </c>
      <c r="F25" s="143">
        <f t="shared" si="10"/>
        <v>7.5968219446984592E-2</v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19521.75</v>
      </c>
      <c r="D26" s="276">
        <f>IF(D6="","",D24*(1-Fin_Analysis!$I$84))</f>
        <v>12186</v>
      </c>
      <c r="E26" s="276">
        <f>IF(E6="","",E24*(1-Fin_Analysis!$I$84))</f>
        <v>1620.75</v>
      </c>
      <c r="F26" s="276">
        <f>IF(F6="","",F24*(1-Fin_Analysis!$I$84))</f>
        <v>56657.25</v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0.6019817823732152</v>
      </c>
      <c r="D27" s="305">
        <f t="shared" si="11"/>
        <v>6.5187413234613603</v>
      </c>
      <c r="E27" s="305">
        <f t="shared" si="11"/>
        <v>-0.97139377573037877</v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628958</v>
      </c>
      <c r="D29" s="147">
        <f>IF(D36="","",D36+D32)</f>
        <v>595250</v>
      </c>
      <c r="E29" s="147">
        <f t="shared" ref="E29:M29" si="21">IF(E36="","",E36+E32)</f>
        <v>496507</v>
      </c>
      <c r="F29" s="147">
        <f t="shared" si="21"/>
        <v>422288</v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332578</v>
      </c>
      <c r="D32" s="144">
        <f>IF(Inputs!D37="","",Inputs!D37)</f>
        <v>321127</v>
      </c>
      <c r="E32" s="144">
        <f>IF(Inputs!E37="","",Inputs!E37)</f>
        <v>249723</v>
      </c>
      <c r="F32" s="144">
        <f>IF(Inputs!F37="","",Inputs!F37)</f>
        <v>200669</v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296380</v>
      </c>
      <c r="D36" s="144">
        <f>IF(Inputs!D41="","",Inputs!D41)</f>
        <v>274123</v>
      </c>
      <c r="E36" s="144">
        <f>IF(Inputs!E41="","",Inputs!E41)</f>
        <v>246784</v>
      </c>
      <c r="F36" s="144">
        <f>IF(Inputs!F41="","",Inputs!F41)</f>
        <v>221619</v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64522</v>
      </c>
      <c r="D37" s="144">
        <f>IF(Inputs!D42="","",Inputs!D42)</f>
        <v>60757</v>
      </c>
      <c r="E37" s="144">
        <f>IF(Inputs!E42="","",Inputs!E42)</f>
        <v>37873</v>
      </c>
      <c r="F37" s="144">
        <f>IF(Inputs!F42="","",Inputs!F42)</f>
        <v>34076</v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628958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4.5964913396443006E-2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0.91228050766045088</v>
      </c>
      <c r="D42" s="150">
        <f t="shared" si="35"/>
        <v>0.91964336918247891</v>
      </c>
      <c r="E42" s="150">
        <f t="shared" si="35"/>
        <v>0.92642750254310668</v>
      </c>
      <c r="F42" s="150">
        <f t="shared" si="35"/>
        <v>0.85370379805900221</v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6.1066027942345176E-2</v>
      </c>
      <c r="D43" s="146">
        <f t="shared" si="36"/>
        <v>6.2813743744241257E-2</v>
      </c>
      <c r="E43" s="146">
        <f t="shared" si="36"/>
        <v>7.0026860251031955E-2</v>
      </c>
      <c r="F43" s="146">
        <f t="shared" si="36"/>
        <v>4.5005242678351626E-2</v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>
        <f t="shared" si="37"/>
        <v>0</v>
      </c>
      <c r="F44" s="146">
        <f t="shared" si="37"/>
        <v>0</v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2.6561269778050674E-3</v>
      </c>
      <c r="D45" s="146">
        <f t="shared" si="38"/>
        <v>2.0129301610726453E-3</v>
      </c>
      <c r="E45" s="146">
        <f t="shared" si="38"/>
        <v>1.2747059664225844E-3</v>
      </c>
      <c r="F45" s="146">
        <f t="shared" si="38"/>
        <v>0</v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>
        <f t="shared" si="39"/>
        <v>0</v>
      </c>
      <c r="F46" s="146">
        <f t="shared" si="39"/>
        <v>0</v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>
        <f t="shared" si="40"/>
        <v>0</v>
      </c>
      <c r="F47" s="146">
        <f t="shared" si="40"/>
        <v>0</v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2.3997337419398853E-2</v>
      </c>
      <c r="D48" s="281">
        <f t="shared" si="41"/>
        <v>1.5529956912207189E-2</v>
      </c>
      <c r="E48" s="281">
        <f t="shared" si="41"/>
        <v>2.2709312394387508E-3</v>
      </c>
      <c r="F48" s="281">
        <f t="shared" si="41"/>
        <v>0.10129095926264611</v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1.7245380454656749</v>
      </c>
      <c r="D50" s="153">
        <f t="shared" si="42"/>
        <v>1.7576413271734566</v>
      </c>
      <c r="E50" s="153">
        <f t="shared" si="42"/>
        <v>1.9165731802371366</v>
      </c>
      <c r="F50" s="153">
        <f t="shared" si="42"/>
        <v>1.7660980184139734</v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e">
        <f t="shared" si="45"/>
        <v>#VALUE!</v>
      </c>
      <c r="E53" s="146" t="e">
        <f t="shared" si="45"/>
        <v>#VALUE!</v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0.36863828745321625</v>
      </c>
      <c r="D55" s="150">
        <f t="shared" si="46"/>
        <v>0.3584477110457791</v>
      </c>
      <c r="E55" s="150">
        <f t="shared" si="46"/>
        <v>0.4207614394157585</v>
      </c>
      <c r="F55" s="150">
        <f t="shared" si="46"/>
        <v>0.44411160156101998</v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0.11068423681278573</v>
      </c>
      <c r="D57" s="146">
        <f t="shared" si="48"/>
        <v>0.12961595273264401</v>
      </c>
      <c r="E57" s="146">
        <f t="shared" si="48"/>
        <v>0.56131420638593243</v>
      </c>
      <c r="F57" s="146" t="str">
        <f t="shared" si="48"/>
        <v>-</v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>
        <f>IF(D36="","",IF(Inputs!D38=0,0,Inputs!D38/D29))</f>
        <v>0</v>
      </c>
      <c r="E58" s="146">
        <f>IF(E36="","",IF(Inputs!E38=0,0,Inputs!E38/E29))</f>
        <v>0</v>
      </c>
      <c r="F58" s="146">
        <f>IF(F36="","",IF(Inputs!F38=0,0,Inputs!F38/F29))</f>
        <v>0</v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0.1246883868574731</v>
      </c>
      <c r="D60" s="156">
        <f t="shared" si="50"/>
        <v>8.6021203003290123E-2</v>
      </c>
      <c r="E60" s="156">
        <f t="shared" si="50"/>
        <v>1.6150418120635102E-2</v>
      </c>
      <c r="F60" s="156">
        <f t="shared" si="50"/>
        <v>0.40280362370229761</v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0.11226267801844232</v>
      </c>
      <c r="D61" s="156">
        <f t="shared" si="51"/>
        <v>7.6150839402716455E-2</v>
      </c>
      <c r="E61" s="156">
        <f t="shared" si="51"/>
        <v>1.0344117830080752E-2</v>
      </c>
      <c r="F61" s="156">
        <f t="shared" si="51"/>
        <v>0.40280362370229761</v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296380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231858</v>
      </c>
      <c r="K3" s="75"/>
    </row>
    <row r="4" spans="1:11" ht="15" customHeight="1" x14ac:dyDescent="0.35">
      <c r="B4" s="9" t="s">
        <v>21</v>
      </c>
      <c r="C4" s="3"/>
      <c r="D4" s="144">
        <f>Inputs!C42</f>
        <v>64522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-413202.19343337114</v>
      </c>
      <c r="E6" s="170">
        <f>1-D6/D3</f>
        <v>2.394163551634291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0.3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0.2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332578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>
        <f>(E44+E45+E24+E25)/$I$49</f>
        <v>0</v>
      </c>
      <c r="J47" s="187" t="str">
        <f>IF(OR(I47&lt;0.5,C49&lt;I49),"Liquidity Issue!","")</f>
        <v>Liquidity Issue!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332578</v>
      </c>
      <c r="J48" s="187"/>
    </row>
    <row r="49" spans="2:11" ht="15" customHeight="1" thickTop="1" x14ac:dyDescent="0.35">
      <c r="B49" s="9" t="s">
        <v>13</v>
      </c>
      <c r="C49" s="184">
        <f>Inputs!C41+Inputs!C37</f>
        <v>628958</v>
      </c>
      <c r="D49" s="170">
        <f>E49/C49</f>
        <v>0</v>
      </c>
      <c r="E49" s="176">
        <f>E28+E48</f>
        <v>0</v>
      </c>
      <c r="F49" s="3"/>
      <c r="G49" s="3"/>
      <c r="H49" s="9" t="s">
        <v>78</v>
      </c>
      <c r="I49" s="175">
        <f>Inputs!C37</f>
        <v>332578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P/B Approach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64522</v>
      </c>
      <c r="D53" s="34">
        <f>IF(E53=0, 0,E53/C53)</f>
        <v>1.249561288140032</v>
      </c>
      <c r="E53" s="176">
        <f>IF(C53=0,0,MAX(C53,C53*Dashboard!G23))</f>
        <v>80624.19343337114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-122.04121373966625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-122.04121373966625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-122.04121373966625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628958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332578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296380</v>
      </c>
      <c r="D70" s="34">
        <f t="shared" si="2"/>
        <v>-1.1221337472164115</v>
      </c>
      <c r="E70" s="202">
        <f>E68-E69</f>
        <v>-332578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1084662</v>
      </c>
      <c r="D74" s="98"/>
      <c r="E74" s="256">
        <f>Inputs!E91</f>
        <v>1084662</v>
      </c>
      <c r="F74" s="98"/>
      <c r="H74" s="256">
        <f>Inputs!F91</f>
        <v>1084662</v>
      </c>
      <c r="I74" s="98"/>
      <c r="K74" s="75"/>
    </row>
    <row r="75" spans="1:11" ht="15" customHeight="1" x14ac:dyDescent="0.35">
      <c r="B75" s="100" t="s">
        <v>97</v>
      </c>
      <c r="C75" s="97">
        <f>Data!C8</f>
        <v>989516</v>
      </c>
      <c r="D75" s="101">
        <f>C75/$C$74</f>
        <v>0.91228050766045088</v>
      </c>
      <c r="E75" s="256">
        <f>Inputs!E92</f>
        <v>989516</v>
      </c>
      <c r="F75" s="211">
        <f>E75/E74</f>
        <v>0.91228050766045088</v>
      </c>
      <c r="H75" s="256">
        <f>Inputs!F92</f>
        <v>989516</v>
      </c>
      <c r="I75" s="211">
        <f>H75/$H$74</f>
        <v>0.91228050766045088</v>
      </c>
      <c r="K75" s="75"/>
    </row>
    <row r="76" spans="1:11" ht="15" customHeight="1" x14ac:dyDescent="0.35">
      <c r="B76" s="12" t="s">
        <v>87</v>
      </c>
      <c r="C76" s="145">
        <f>C74-C75</f>
        <v>95146</v>
      </c>
      <c r="D76" s="212"/>
      <c r="E76" s="213">
        <f>E74-E75</f>
        <v>95146</v>
      </c>
      <c r="F76" s="212"/>
      <c r="H76" s="213">
        <f>H74-H75</f>
        <v>95146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66236</v>
      </c>
      <c r="D77" s="101">
        <f>C77/$C$74</f>
        <v>6.1066027942345176E-2</v>
      </c>
      <c r="E77" s="256">
        <f>Inputs!E93</f>
        <v>66236</v>
      </c>
      <c r="F77" s="211">
        <f>E77/E74</f>
        <v>6.1066027942345176E-2</v>
      </c>
      <c r="H77" s="256">
        <f>Inputs!F93</f>
        <v>66236</v>
      </c>
      <c r="I77" s="211">
        <f>H77/$H$74</f>
        <v>6.1066027942345176E-2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28910</v>
      </c>
      <c r="D79" s="217">
        <f>C79/C74</f>
        <v>2.6653464397203921E-2</v>
      </c>
      <c r="E79" s="218">
        <f>E76-E77-E78</f>
        <v>28910</v>
      </c>
      <c r="F79" s="217">
        <f>E79/E74</f>
        <v>2.6653464397203921E-2</v>
      </c>
      <c r="G79" s="219"/>
      <c r="H79" s="218">
        <f>H76-H77-H78</f>
        <v>28910</v>
      </c>
      <c r="I79" s="217">
        <f>H79/H74</f>
        <v>2.6653464397203921E-2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2881</v>
      </c>
      <c r="D81" s="101">
        <f>C81/$C$74</f>
        <v>2.6561269778050674E-3</v>
      </c>
      <c r="E81" s="214">
        <f>E74*F81</f>
        <v>2881</v>
      </c>
      <c r="F81" s="211">
        <f>I81</f>
        <v>2.6561269778050674E-3</v>
      </c>
      <c r="H81" s="256">
        <f>Inputs!F94</f>
        <v>2881</v>
      </c>
      <c r="I81" s="211">
        <f>H81/$H$74</f>
        <v>2.6561269778050674E-3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26029</v>
      </c>
      <c r="D83" s="223">
        <f>C83/$C$74</f>
        <v>2.3997337419398853E-2</v>
      </c>
      <c r="E83" s="224">
        <f>E79-E81-E82-E80</f>
        <v>26029</v>
      </c>
      <c r="F83" s="223">
        <f>E83/E74</f>
        <v>2.3997337419398853E-2</v>
      </c>
      <c r="H83" s="224">
        <f>H79-H81-H82-H80</f>
        <v>26029</v>
      </c>
      <c r="I83" s="223">
        <f>H83/$H$74</f>
        <v>2.3997337419398853E-2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19521.75</v>
      </c>
      <c r="D85" s="217">
        <f>C85/$C$74</f>
        <v>1.7998003064549142E-2</v>
      </c>
      <c r="E85" s="229">
        <f>E83*(1-F84)</f>
        <v>19521.75</v>
      </c>
      <c r="F85" s="217">
        <f>E85/E74</f>
        <v>1.7998003064549142E-2</v>
      </c>
      <c r="G85" s="219"/>
      <c r="H85" s="229">
        <f>H83*(1-I84)</f>
        <v>19521.75</v>
      </c>
      <c r="I85" s="217">
        <f>H85/$H$74</f>
        <v>1.7998003064549142E-2</v>
      </c>
      <c r="K85" s="75"/>
    </row>
    <row r="86" spans="1:11" ht="15" customHeight="1" x14ac:dyDescent="0.35">
      <c r="B86" s="3" t="s">
        <v>143</v>
      </c>
      <c r="C86" s="230">
        <f>C85*Data!C4/Common_Shares</f>
        <v>6.7339598375393486</v>
      </c>
      <c r="D86" s="98"/>
      <c r="E86" s="231">
        <f>E85*Data!C4/Common_Shares</f>
        <v>6.7339598375393486</v>
      </c>
      <c r="F86" s="98"/>
      <c r="H86" s="231">
        <f>H85*Data!C4/Common_Shares</f>
        <v>6.7339598375393486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5.2712339413259E-2</v>
      </c>
      <c r="D87" s="98"/>
      <c r="E87" s="233">
        <f>E86*Exchange_Rate/Dashboard!G3</f>
        <v>5.2712339413259E-2</v>
      </c>
      <c r="F87" s="98"/>
      <c r="H87" s="233">
        <f>H86*Exchange_Rate/Dashboard!G3</f>
        <v>5.2712339413259E-2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2.3252845295556366</v>
      </c>
      <c r="D88" s="235">
        <f>C88/C86</f>
        <v>0.34530715740136003</v>
      </c>
      <c r="E88" s="255">
        <f>Inputs!E98</f>
        <v>2.3252845295556366</v>
      </c>
      <c r="F88" s="235">
        <f>E88/E86</f>
        <v>0.34530715740136003</v>
      </c>
      <c r="H88" s="255">
        <f>Inputs!F98</f>
        <v>2.3252845295556366</v>
      </c>
      <c r="I88" s="235">
        <f>H88/H86</f>
        <v>0.34530715740136003</v>
      </c>
      <c r="K88" s="75"/>
    </row>
    <row r="89" spans="1:11" ht="15" customHeight="1" x14ac:dyDescent="0.35">
      <c r="B89" s="3" t="s">
        <v>193</v>
      </c>
      <c r="C89" s="232">
        <f>C88*Exchange_Rate/Dashboard!G3</f>
        <v>1.8201948082768139E-2</v>
      </c>
      <c r="D89" s="98"/>
      <c r="E89" s="232">
        <f>E88*Exchange_Rate/Dashboard!G3</f>
        <v>1.8201948082768139E-2</v>
      </c>
      <c r="F89" s="98"/>
      <c r="H89" s="232">
        <f>H88*Exchange_Rate/Dashboard!G3</f>
        <v>1.8201948082768139E-2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175.95458885585774</v>
      </c>
      <c r="H93" s="3" t="s">
        <v>182</v>
      </c>
      <c r="I93" s="237">
        <f>FV(H87,D93,0,-(H86/(C93-D94)))*Exchange_Rate</f>
        <v>175.95458885585774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0.03</v>
      </c>
      <c r="E94" s="3" t="s">
        <v>183</v>
      </c>
      <c r="F94" s="237">
        <f>FV(E89,D93,0,-(E88/(C93-D94)))*Exchange_Rate</f>
        <v>53.174451422662649</v>
      </c>
      <c r="H94" s="3" t="s">
        <v>183</v>
      </c>
      <c r="I94" s="237">
        <f>FV(H89,D93,0,-(H88/(C93-D94)))*Exchange_Rate</f>
        <v>53.174451422662649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291646.96487175243</v>
      </c>
      <c r="D97" s="244"/>
      <c r="E97" s="245">
        <f>PV(C94,D93,0,-F93)</f>
        <v>100.60260725532444</v>
      </c>
      <c r="F97" s="244"/>
      <c r="H97" s="245">
        <f>PV(C94,D93,0,-I93)</f>
        <v>100.60260725532444</v>
      </c>
      <c r="I97" s="245">
        <f>PV(C93,D93,0,-I93)</f>
        <v>129.33187554558157</v>
      </c>
      <c r="K97" s="75"/>
    </row>
    <row r="98" spans="2:11" ht="15" customHeight="1" x14ac:dyDescent="0.35">
      <c r="B98" s="18" t="s">
        <v>132</v>
      </c>
      <c r="C98" s="243">
        <f>-E53*Exchange_Rate</f>
        <v>-85768.261830712421</v>
      </c>
      <c r="D98" s="244"/>
      <c r="E98" s="244"/>
      <c r="F98" s="244"/>
      <c r="H98" s="245">
        <f>C98*Data!$C$4/Common_Shares</f>
        <v>-29.585463931439367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-353797.48644193012</v>
      </c>
      <c r="D99" s="248"/>
      <c r="E99" s="249">
        <f>IF(H99&gt;0,I64,H99)</f>
        <v>-122.04121373966625</v>
      </c>
      <c r="F99" s="248"/>
      <c r="H99" s="249">
        <f>I64</f>
        <v>-122.04121373966625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25.842265406005989</v>
      </c>
      <c r="E103" s="245">
        <f>PV(C94,D93,0,-F94)</f>
        <v>30.40266518353646</v>
      </c>
      <c r="F103" s="251">
        <f>(E103+H103)/2</f>
        <v>30.40266518353646</v>
      </c>
      <c r="H103" s="245">
        <f>PV(C94,D93,0,-I94)</f>
        <v>30.40266518353646</v>
      </c>
      <c r="I103" s="251">
        <f>PV(C93,D93,0,-I94)</f>
        <v>39.084809201731879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12.921132703002995</v>
      </c>
      <c r="E106" s="245">
        <f>(E100+E103)/2</f>
        <v>15.20133259176823</v>
      </c>
      <c r="F106" s="251">
        <f>(F100+F103)/2</f>
        <v>15.20133259176823</v>
      </c>
      <c r="H106" s="245">
        <f>(H100+H103)/2</f>
        <v>15.20133259176823</v>
      </c>
      <c r="I106" s="245">
        <f>(I100+I103)/2</f>
        <v>19.54240460086594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