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F21628C-40D0-4206-A324-79B01A815AEA}" xr6:coauthVersionLast="47" xr6:coauthVersionMax="47" xr10:uidLastSave="{00000000-0000-0000-0000-000000000000}"/>
  <bookViews>
    <workbookView xWindow="1470" yWindow="1470" windowWidth="12690" windowHeight="7643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C61" i="4"/>
  <c r="D60" i="4"/>
  <c r="D59" i="4"/>
  <c r="D58" i="4"/>
  <c r="D71" i="4" s="1"/>
  <c r="D55" i="4"/>
  <c r="D53" i="4"/>
  <c r="D50" i="4"/>
  <c r="D56" i="4" s="1"/>
  <c r="D44" i="4"/>
  <c r="C44" i="4"/>
  <c r="D41" i="4"/>
  <c r="C41" i="4"/>
  <c r="F37" i="4"/>
  <c r="E37" i="4"/>
  <c r="D37" i="4"/>
  <c r="E27" i="4"/>
  <c r="D27" i="4"/>
  <c r="C27" i="4"/>
  <c r="F96" i="4" l="1"/>
  <c r="E92" i="4"/>
  <c r="F97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<sst xmlns="http://schemas.openxmlformats.org/spreadsheetml/2006/main" count="405" uniqueCount="290">
  <si>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</si>
  <si>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</si>
  <si>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</si>
  <si>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</si>
  <si>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</si>
  <si>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</si>
  <si>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</si>
  <si>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</si>
  <si>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</si>
  <si>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</si>
  <si>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</si>
  <si>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</si>
  <si>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</si>
  <si>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</si>
  <si>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</si>
  <si>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</si>
  <si>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</si>
  <si>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</si>
  <si>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</si>
  <si>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</si>
  <si>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</si>
  <si>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</si>
  <si>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</si>
  <si>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</si>
  <si>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</si>
  <si>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</si>
  <si>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</si>
  <si>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</si>
  <si>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</si>
  <si>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</si>
  <si>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</si>
  <si>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</si>
  <si>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</si>
  <si>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</si>
  <si>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</si>
  <si>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</si>
  <si>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</si>
  <si>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</si>
  <si>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</si>
  <si>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</si>
  <si>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</si>
  <si>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</si>
  <si>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</si>
  <si>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</si>
  <si>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</si>
  <si>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</si>
  <si>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</si>
  <si>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</si>
  <si>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</si>
  <si>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</si>
  <si>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</si>
  <si>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</si>
  <si>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</si>
  <si>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</si>
  <si>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</si>
  <si>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</si>
  <si>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</si>
  <si>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</si>
  <si>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</si>
  <si>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</si>
  <si>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</si>
  <si>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</si>
  <si>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</si>
  <si>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</si>
  <si>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</si>
  <si>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</si>
  <si>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</si>
  <si>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</si>
  <si>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</si>
  <si>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</si>
  <si>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</si>
  <si>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</si>
  <si>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</si>
  <si>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</si>
  <si>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</si>
  <si>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</si>
  <si>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</si>
  <si>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</si>
  <si>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</si>
  <si>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</si>
  <si>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</si>
  <si>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</si>
  <si>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</si>
  <si>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</si>
  <si>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</si>
  <si>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</si>
  <si>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</si>
  <si>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</si>
  <si>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</si>
  <si>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</si>
  <si>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</si>
  <si>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</si>
  <si>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</si>
  <si>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</si>
  <si>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</si>
  <si>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</si>
  <si>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</si>
  <si>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</si>
  <si>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</si>
  <si>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</si>
  <si>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</si>
  <si>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</si>
  <si>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</si>
  <si>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</si>
  <si>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</si>
  <si>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</si>
  <si>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</si>
  <si>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</si>
  <si>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</si>
  <si>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</si>
  <si>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</si>
  <si>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</si>
  <si>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</si>
  <si>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</si>
  <si>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</si>
  <si>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</si>
  <si>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</si>
  <si>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</si>
  <si>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</si>
  <si>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</si>
  <si>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</si>
  <si>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</si>
  <si>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</si>
  <si>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</si>
  <si>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</si>
  <si>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</si>
  <si>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</si>
  <si>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</si>
  <si>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</si>
  <si>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</si>
  <si>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</si>
  <si>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</si>
  <si>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</si>
  <si>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</si>
  <si>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</si>
  <si>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</si>
  <si>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</si>
  <si>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</si>
  <si>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</si>
  <si>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</si>
  <si>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</si>
  <si>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</si>
  <si>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</si>
  <si>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</si>
  <si>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</si>
  <si>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</si>
  <si>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</si>
  <si>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</si>
  <si>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</si>
  <si>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</si>
  <si>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</si>
  <si>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</si>
  <si>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</si>
  <si>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</si>
  <si>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</si>
  <si>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</si>
  <si>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</si>
  <si>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</si>
  <si>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</si>
  <si>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</si>
  <si>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</si>
  <si>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</si>
  <si>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</si>
  <si>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</si>
  <si>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</si>
  <si>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</si>
  <si>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</si>
  <si>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</si>
  <si>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</si>
  <si>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</si>
  <si>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</si>
  <si>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</si>
  <si>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</si>
  <si>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</si>
  <si>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</si>
  <si>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</si>
  <si>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</si>
  <si>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</si>
  <si>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</si>
  <si>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</si>
  <si>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</si>
  <si>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</si>
  <si>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</si>
  <si>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</si>
  <si>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</si>
  <si>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</si>
  <si>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</si>
  <si>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</si>
  <si>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</si>
  <si>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</si>
  <si>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</si>
  <si>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</si>
  <si>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</si>
  <si>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</si>
  <si>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</si>
  <si>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</si>
  <si>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</si>
  <si>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</si>
  <si>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</si>
  <si>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</si>
  <si>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</si>
  <si>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</si>
  <si>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</si>
  <si>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</si>
  <si>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</si>
  <si>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</si>
  <si>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</si>
  <si>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</si>
  <si>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</si>
  <si>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</si>
  <si>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</si>
  <si>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</si>
  <si>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</si>
  <si>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</si>
  <si>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</si>
  <si>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</si>
  <si>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</si>
  <si>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</si>
  <si>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</si>
  <si>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</si>
  <si>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</si>
  <si>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</si>
  <si>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</si>
  <si>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</si>
  <si>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</si>
  <si>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</si>
  <si>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</si>
  <si>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</si>
  <si>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</si>
  <si>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</si>
  <si>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</si>
  <si>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</si>
  <si>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</si>
  <si>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</si>
  <si>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</si>
  <si>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</si>
  <si>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</si>
  <si>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</si>
  <si>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</si>
  <si>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</si>
  <si>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</si>
  <si>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</si>
  <si>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</si>
  <si>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</si>
  <si>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</si>
  <si>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</si>
  <si>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</si>
  <si>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</si>
  <si>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</si>
  <si>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</si>
  <si>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</si>
  <si>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</si>
  <si>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</si>
  <si>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</si>
  <si>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</si>
  <si>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</si>
  <si>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</si>
  <si>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</si>
  <si>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</si>
  <si>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</si>
  <si>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</si>
  <si>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</si>
  <si>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</si>
  <si>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</si>
  <si>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</si>
  <si>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</si>
  <si>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</si>
  <si>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</si>
  <si>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</si>
  <si>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</si>
  <si>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</si>
  <si>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</si>
  <si>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</si>
  <si>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</si>
  <si>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</si>
  <si>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</si>
  <si>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</si>
  <si>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</si>
  <si>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</si>
  <si>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</si>
  <si>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</si>
  <si>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</si>
  <si>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</si>
  <si>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9988.HK</t>
  </si>
  <si>
    <t>阿里巴巴</t>
  </si>
  <si>
    <t xml:space="preserve">Superior Cycl. </t>
  </si>
  <si>
    <t>C0009</t>
  </si>
  <si>
    <t>CNY</t>
  </si>
  <si>
    <t>agree</t>
  </si>
  <si>
    <t>Consumer Monopoly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</si>
</sst>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283</v>
      </c>
      <c r="D4" s="66"/>
    </row>
    <row r="5" spans="1:5" x14ac:dyDescent="0.35">
      <c r="B5" s="46" t="s">
        <v>168</v>
      </c>
      <c r="C5" s="67" t="s">
        <v>284</v>
      </c>
    </row>
    <row r="6" spans="1:5" x14ac:dyDescent="0.35">
      <c r="B6" s="46" t="s">
        <v>268</v>
      </c>
      <c r="C6" s="68">
        <v>45624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285</v>
      </c>
    </row>
    <row r="9" spans="1:5" x14ac:dyDescent="0.35">
      <c r="B9" s="39" t="s">
        <v>189</v>
      </c>
      <c r="C9" s="119" t="s">
        <v>286</v>
      </c>
    </row>
    <row r="10" spans="1:5" x14ac:dyDescent="0.35">
      <c r="B10" s="39" t="s">
        <v>190</v>
      </c>
      <c r="C10" s="70">
        <v>19080551940</v>
      </c>
    </row>
    <row r="11" spans="1:5" x14ac:dyDescent="0.35">
      <c r="B11" s="39" t="s">
        <v>191</v>
      </c>
      <c r="C11" s="69" t="s">
        <v>287</v>
      </c>
    </row>
    <row r="12" spans="1:5" x14ac:dyDescent="0.35">
      <c r="B12" s="71" t="s">
        <v>9</v>
      </c>
      <c r="C12" s="72">
        <v>45382</v>
      </c>
    </row>
    <row r="13" spans="1:5" x14ac:dyDescent="0.35">
      <c r="B13" s="71" t="s">
        <v>10</v>
      </c>
      <c r="C13" s="73">
        <v>1000000</v>
      </c>
    </row>
    <row r="14" spans="1:5" x14ac:dyDescent="0.35">
      <c r="B14" s="71" t="s">
        <v>192</v>
      </c>
      <c r="C14" s="72">
        <v>45382</v>
      </c>
    </row>
    <row r="15" spans="1:5" x14ac:dyDescent="0.35">
      <c r="B15" s="71" t="s">
        <v>221</v>
      </c>
      <c r="C15" s="117" t="s">
        <v>282</v>
      </c>
    </row>
    <row r="16" spans="1:5" x14ac:dyDescent="0.35">
      <c r="B16" s="74" t="s">
        <v>88</v>
      </c>
      <c r="C16" s="120">
        <v>0.25</v>
      </c>
      <c r="D16" s="75"/>
      <c r="E16" s="25" t="s">
        <v>251</v>
      </c>
    </row>
    <row r="17" spans="2:13" x14ac:dyDescent="0.35">
      <c r="B17" s="56" t="s">
        <v>196</v>
      </c>
      <c r="C17" s="121" t="s">
        <v>288</v>
      </c>
      <c r="D17" s="75"/>
    </row>
    <row r="18" spans="2:13" x14ac:dyDescent="0.35">
      <c r="B18" s="56" t="s">
        <v>209</v>
      </c>
      <c r="C18" s="121" t="s">
        <v>288</v>
      </c>
      <c r="D18" s="75"/>
    </row>
    <row r="19" spans="2:13" x14ac:dyDescent="0.35">
      <c r="B19" s="56" t="s">
        <v>210</v>
      </c>
      <c r="C19" s="121" t="s">
        <v>288</v>
      </c>
      <c r="D19" s="75"/>
    </row>
    <row r="20" spans="2:13" x14ac:dyDescent="0.35">
      <c r="B20" s="57" t="s">
        <v>199</v>
      </c>
      <c r="C20" s="121" t="s">
        <v>288</v>
      </c>
      <c r="D20" s="75"/>
    </row>
    <row r="21" spans="2:13" x14ac:dyDescent="0.35">
      <c r="B21" s="2" t="s">
        <v>202</v>
      </c>
      <c r="C21" s="121" t="s">
        <v>214</v>
      </c>
      <c r="D21" s="75"/>
    </row>
    <row r="22" spans="2:13" ht="69.75" x14ac:dyDescent="0.35">
      <c r="B22" s="59" t="s">
        <v>201</v>
      </c>
      <c r="C22" s="122" t="s">
        <v>289</v>
      </c>
      <c r="D22" s="75"/>
    </row>
    <row r="24" spans="2:13" x14ac:dyDescent="0.35">
      <c r="B24" s="76" t="s">
        <v>278</v>
      </c>
      <c r="C24" s="286">
        <f>C12</f>
        <v>45382</v>
      </c>
      <c r="D24" s="287">
        <f>EOMONTH(EDATE(C24,-12),0)</f>
        <v>45016</v>
      </c>
      <c r="E24" s="287">
        <f t="shared" ref="E24:M24" si="0">EOMONTH(EDATE(D24,-12),0)</f>
        <v>44651</v>
      </c>
      <c r="F24" s="287">
        <f t="shared" si="0"/>
        <v>44286</v>
      </c>
      <c r="G24" s="287">
        <f t="shared" si="0"/>
        <v>43921</v>
      </c>
      <c r="H24" s="287">
        <f t="shared" si="0"/>
        <v>43555</v>
      </c>
      <c r="I24" s="287">
        <f t="shared" si="0"/>
        <v>43190</v>
      </c>
      <c r="J24" s="287">
        <f t="shared" si="0"/>
        <v>42825</v>
      </c>
      <c r="K24" s="287">
        <f t="shared" si="0"/>
        <v>42460</v>
      </c>
      <c r="L24" s="287">
        <f t="shared" si="0"/>
        <v>42094</v>
      </c>
      <c r="M24" s="287">
        <f t="shared" si="0"/>
        <v>41729</v>
      </c>
    </row>
    <row r="25" spans="2:13" x14ac:dyDescent="0.35">
      <c r="B25" s="263" t="s">
        <v>11</v>
      </c>
      <c r="C25" s="77">
        <v>941168</v>
      </c>
      <c r="D25" s="77">
        <v>868687</v>
      </c>
      <c r="E25" s="77">
        <v>853062</v>
      </c>
      <c r="F25" s="77"/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586323</v>
      </c>
      <c r="D26" s="78">
        <v>549695</v>
      </c>
      <c r="E26" s="78">
        <v>539450</v>
      </c>
      <c r="F26" s="78"/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f>115141+41985</f>
        <v>157126</v>
      </c>
      <c r="D27" s="78">
        <f>103496+42183</f>
        <v>145679</v>
      </c>
      <c r="E27" s="78">
        <f>119799+31922</f>
        <v>151721</v>
      </c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>
        <v>52256</v>
      </c>
      <c r="D28" s="78">
        <v>56744</v>
      </c>
      <c r="E28" s="78">
        <v>55465</v>
      </c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7947</v>
      </c>
      <c r="D29" s="78">
        <v>5918</v>
      </c>
      <c r="E29" s="78">
        <v>4909</v>
      </c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276</v>
      </c>
      <c r="C30" s="302"/>
      <c r="D30" s="302">
        <v>274</v>
      </c>
      <c r="E30" s="302">
        <v>290</v>
      </c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>
        <v>268</v>
      </c>
      <c r="D31" s="78">
        <v>274</v>
      </c>
      <c r="E31" s="78">
        <v>290</v>
      </c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>
        <v>652230</v>
      </c>
      <c r="D37" s="78">
        <f>385351+244772</f>
        <v>630123</v>
      </c>
      <c r="E37" s="78">
        <f>383784+229576</f>
        <v>613360</v>
      </c>
      <c r="F37" s="78">
        <f>377358+229226</f>
        <v>606584</v>
      </c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>
        <f>1101871+10728</f>
        <v>1112599</v>
      </c>
      <c r="D41" s="302">
        <f>1113063+9858</f>
        <v>1122921</v>
      </c>
      <c r="E41" s="302">
        <v>1082193</v>
      </c>
      <c r="F41" s="302">
        <v>1083634</v>
      </c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>
        <v>115327</v>
      </c>
      <c r="D42" s="78">
        <v>123406</v>
      </c>
      <c r="E42" s="78">
        <v>124059</v>
      </c>
      <c r="F42" s="78">
        <v>137491</v>
      </c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f>0.125*7.2</f>
        <v>0.9</v>
      </c>
      <c r="D44" s="81">
        <f>0.125*7.2</f>
        <v>0.9</v>
      </c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>
        <f>IF(C44="","",C44*Exchange_Rate/Dashboard!$G$3)</f>
        <v>1.1626262699537156E-2</v>
      </c>
      <c r="D45" s="82">
        <f>IF(D44="","",D44*Exchange_Rate/Dashboard!$G$3)</f>
        <v>1.1626262699537156E-2</v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>
        <v>248125</v>
      </c>
      <c r="D48" s="109">
        <v>0.9</v>
      </c>
      <c r="E48" s="260"/>
    </row>
    <row r="49" spans="2:5" x14ac:dyDescent="0.35">
      <c r="B49" s="2" t="s">
        <v>123</v>
      </c>
      <c r="C49" s="86">
        <v>38299</v>
      </c>
      <c r="D49" s="109">
        <v>0.8</v>
      </c>
      <c r="E49" s="260"/>
    </row>
    <row r="50" spans="2:5" x14ac:dyDescent="0.35">
      <c r="B50" s="9" t="s">
        <v>105</v>
      </c>
      <c r="C50" s="86">
        <v>143536</v>
      </c>
      <c r="D50" s="109">
        <f>D51</f>
        <v>0.6</v>
      </c>
      <c r="E50" s="260"/>
    </row>
    <row r="51" spans="2:5" x14ac:dyDescent="0.35">
      <c r="B51" s="9" t="s">
        <v>34</v>
      </c>
      <c r="C51" s="86">
        <v>59949</v>
      </c>
      <c r="D51" s="109">
        <v>0.6</v>
      </c>
      <c r="E51" s="260"/>
    </row>
    <row r="52" spans="2:5" x14ac:dyDescent="0.35">
      <c r="B52" s="9" t="s">
        <v>36</v>
      </c>
      <c r="C52" s="86">
        <v>262955</v>
      </c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226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>
        <f>220942+203131</f>
        <v>424073</v>
      </c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225</v>
      </c>
      <c r="C64" s="86">
        <v>116102</v>
      </c>
      <c r="D64" s="109">
        <v>0.4</v>
      </c>
      <c r="E64" s="260"/>
    </row>
    <row r="65" spans="2:5" x14ac:dyDescent="0.35">
      <c r="B65" s="9" t="s">
        <v>62</v>
      </c>
      <c r="C65" s="86"/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0.2</v>
      </c>
      <c r="E66" s="261" t="s">
        <v>63</v>
      </c>
    </row>
    <row r="67" spans="2:5" x14ac:dyDescent="0.35">
      <c r="B67" s="2" t="s">
        <v>41</v>
      </c>
      <c r="C67" s="86"/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>
        <v>185161</v>
      </c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>
        <v>26950</v>
      </c>
      <c r="D70" s="109">
        <v>0.05</v>
      </c>
      <c r="E70" s="260"/>
    </row>
    <row r="71" spans="2:5" x14ac:dyDescent="0.35">
      <c r="B71" s="9" t="s">
        <v>67</v>
      </c>
      <c r="C71" s="86"/>
      <c r="D71" s="109">
        <f>D58</f>
        <v>0.9</v>
      </c>
      <c r="E71" s="260"/>
    </row>
    <row r="72" spans="2:5" ht="12" thickBot="1" x14ac:dyDescent="0.4">
      <c r="B72" s="89" t="s">
        <v>68</v>
      </c>
      <c r="C72" s="90">
        <v>259679</v>
      </c>
      <c r="D72" s="111">
        <v>0</v>
      </c>
      <c r="E72" s="262"/>
    </row>
    <row r="73" spans="2:5" x14ac:dyDescent="0.35">
      <c r="B73" s="9" t="s">
        <v>31</v>
      </c>
      <c r="C73" s="86">
        <v>12749</v>
      </c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>
        <v>16252</v>
      </c>
    </row>
    <row r="77" spans="2:5" ht="12" thickBot="1" x14ac:dyDescent="0.4">
      <c r="B77" s="91" t="s">
        <v>15</v>
      </c>
      <c r="C77" s="92">
        <v>421507</v>
      </c>
    </row>
    <row r="78" spans="2:5" ht="12" thickTop="1" x14ac:dyDescent="0.35">
      <c r="B78" s="9" t="s">
        <v>54</v>
      </c>
      <c r="C78" s="86">
        <v>55686</v>
      </c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>
        <v>86089</v>
      </c>
    </row>
    <row r="82" spans="2:8" hidden="1" x14ac:dyDescent="0.35">
      <c r="B82" s="300" t="s">
        <v>277</v>
      </c>
      <c r="C82" s="79"/>
    </row>
    <row r="83" spans="2:8" hidden="1" x14ac:dyDescent="0.35">
      <c r="B83" s="300" t="s">
        <v>246</v>
      </c>
      <c r="C83" s="79"/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274</v>
      </c>
      <c r="D87" s="108">
        <v>0.03</v>
      </c>
    </row>
    <row r="89" spans="2:8" x14ac:dyDescent="0.35">
      <c r="B89" s="94" t="s">
        <v>115</v>
      </c>
      <c r="C89" s="310">
        <f>C24</f>
        <v>45382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941168</v>
      </c>
      <c r="D91" s="98"/>
      <c r="E91" s="99">
        <f>C91</f>
        <v>941168</v>
      </c>
      <c r="F91" s="99">
        <f>C91</f>
        <v>941168</v>
      </c>
    </row>
    <row r="92" spans="2:8" x14ac:dyDescent="0.35">
      <c r="B92" s="100" t="s">
        <v>97</v>
      </c>
      <c r="C92" s="97">
        <f>C26</f>
        <v>586323</v>
      </c>
      <c r="D92" s="101">
        <f>C92/C91</f>
        <v>0.62297379426414834</v>
      </c>
      <c r="E92" s="102">
        <f>E91*D92</f>
        <v>586323</v>
      </c>
      <c r="F92" s="102">
        <f>F91*D92</f>
        <v>586323</v>
      </c>
    </row>
    <row r="93" spans="2:8" x14ac:dyDescent="0.35">
      <c r="B93" s="100" t="s">
        <v>216</v>
      </c>
      <c r="C93" s="97">
        <f>C27+C28</f>
        <v>209382</v>
      </c>
      <c r="D93" s="101">
        <f>C93/C91</f>
        <v>0.22247037723339511</v>
      </c>
      <c r="E93" s="102">
        <f>E91*D93</f>
        <v>209382</v>
      </c>
      <c r="F93" s="102">
        <f>F91*D93</f>
        <v>209382</v>
      </c>
    </row>
    <row r="94" spans="2:8" x14ac:dyDescent="0.35">
      <c r="B94" s="100" t="s">
        <v>222</v>
      </c>
      <c r="C94" s="97">
        <f>C29</f>
        <v>7947</v>
      </c>
      <c r="D94" s="101">
        <f>C94/C91</f>
        <v>8.4437634938714454E-3</v>
      </c>
      <c r="E94" s="103"/>
      <c r="F94" s="102">
        <f>F91*D94</f>
        <v>7947.0000000000009</v>
      </c>
    </row>
    <row r="95" spans="2:8" x14ac:dyDescent="0.35">
      <c r="B95" s="18" t="s">
        <v>215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357.33333333333331</v>
      </c>
      <c r="D97" s="101">
        <f>C97/C91</f>
        <v>3.796700836974199E-4</v>
      </c>
      <c r="E97" s="103"/>
      <c r="F97" s="102">
        <f>F91*D97</f>
        <v>357.33333333333331</v>
      </c>
    </row>
    <row r="98" spans="2:6" x14ac:dyDescent="0.35">
      <c r="B98" s="8" t="s">
        <v>180</v>
      </c>
      <c r="C98" s="104">
        <f>C44</f>
        <v>0.9</v>
      </c>
      <c r="D98" s="105"/>
      <c r="E98" s="106">
        <f>F98</f>
        <v>0.9</v>
      </c>
      <c r="F98" s="106">
        <f>C98</f>
        <v>0.9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9988.HK : 阿里巴巴</v>
      </c>
      <c r="D2" s="3"/>
      <c r="E2" s="7"/>
      <c r="F2" s="7"/>
      <c r="G2" s="318" t="str">
        <f>IF(Inputs!D4="","",Inputs!D4)</f>
        <v/>
      </c>
      <c r="H2" s="318"/>
    </row>
    <row r="3" spans="1:10" ht="15.75" customHeight="1" x14ac:dyDescent="0.35">
      <c r="B3" s="9" t="s">
        <v>167</v>
      </c>
      <c r="C3" s="316" t="str">
        <f>Inputs!C4</f>
        <v>9988.HK</v>
      </c>
      <c r="D3" s="317"/>
      <c r="E3" s="3"/>
      <c r="F3" s="9" t="s">
        <v>1</v>
      </c>
      <c r="G3" s="10">
        <v>82.35</v>
      </c>
      <c r="H3" s="11" t="s">
        <v>256</v>
      </c>
    </row>
    <row r="4" spans="1:10" ht="15.75" customHeight="1" x14ac:dyDescent="0.35">
      <c r="B4" s="12" t="s">
        <v>168</v>
      </c>
      <c r="C4" s="318" t="str">
        <f>Inputs!C5</f>
        <v>阿里巴巴</v>
      </c>
      <c r="D4" s="319"/>
      <c r="E4" s="3"/>
      <c r="F4" s="9" t="s">
        <v>2</v>
      </c>
      <c r="G4" s="322">
        <f>Inputs!C10</f>
        <v>19080551940</v>
      </c>
      <c r="H4" s="322"/>
      <c r="I4" s="14"/>
    </row>
    <row r="5" spans="1:10" ht="15.75" customHeight="1" x14ac:dyDescent="0.35">
      <c r="B5" s="9" t="s">
        <v>145</v>
      </c>
      <c r="C5" s="320">
        <f>Inputs!C6</f>
        <v>45624</v>
      </c>
      <c r="D5" s="321"/>
      <c r="E5" s="16"/>
      <c r="F5" s="12" t="s">
        <v>91</v>
      </c>
      <c r="G5" s="314">
        <f>G3*G4/1000000</f>
        <v>1571283.4522589999</v>
      </c>
      <c r="H5" s="314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45626</v>
      </c>
      <c r="E6" s="20">
        <f>IF(Fin_Analysis!E9="FY",Fin_Analysis!D9,Data!C3)</f>
        <v>45382</v>
      </c>
      <c r="F6" s="9" t="s">
        <v>4</v>
      </c>
      <c r="G6" s="315" t="str">
        <f>Inputs!C11</f>
        <v>CNY</v>
      </c>
      <c r="H6" s="315"/>
      <c r="I6" s="17"/>
    </row>
    <row r="7" spans="1:10" ht="15.75" customHeight="1" x14ac:dyDescent="0.35">
      <c r="B7" s="8" t="s">
        <v>165</v>
      </c>
      <c r="C7" s="123" t="str">
        <f>Inputs!C8</f>
        <v xml:space="preserve">Superior Cycl. </v>
      </c>
      <c r="D7" s="123" t="str">
        <f>Inputs!C9</f>
        <v>C0009</v>
      </c>
      <c r="E7" s="3"/>
      <c r="F7" s="12" t="s">
        <v>5</v>
      </c>
      <c r="G7" s="21">
        <v>1.0638030370076497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257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>
        <f>C21*C22*C23</f>
        <v>0.14550259775333776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0.15417615841875909</v>
      </c>
      <c r="F21" s="3"/>
      <c r="G21" s="34"/>
    </row>
    <row r="22" spans="1:8" ht="15.75" customHeight="1" x14ac:dyDescent="0.35">
      <c r="B22" s="35" t="s">
        <v>244</v>
      </c>
      <c r="C22" s="36">
        <f>Data!C50</f>
        <v>0.53329132737506013</v>
      </c>
      <c r="F22" s="83" t="s">
        <v>258</v>
      </c>
      <c r="G22" s="285"/>
      <c r="H22" s="285"/>
    </row>
    <row r="23" spans="1:8" ht="15.75" customHeight="1" thickBot="1" x14ac:dyDescent="0.4">
      <c r="B23" s="37" t="s">
        <v>250</v>
      </c>
      <c r="C23" s="38">
        <f>1/Data!C55</f>
        <v>1.7696566232682758</v>
      </c>
      <c r="F23" s="39" t="s">
        <v>163</v>
      </c>
      <c r="G23" s="40">
        <f>G3/(Data!C36*Data!C4/Common_Shares*Exchange_Rate)</f>
        <v>1.3275614895382351</v>
      </c>
    </row>
    <row r="24" spans="1:8" ht="15.75" customHeight="1" x14ac:dyDescent="0.35">
      <c r="B24" s="41" t="s">
        <v>239</v>
      </c>
      <c r="C24" s="42">
        <f>Fin_Analysis!I81</f>
        <v>8.4437634938714454E-3</v>
      </c>
      <c r="F24" s="39" t="s">
        <v>224</v>
      </c>
      <c r="G24" s="43">
        <f>G3/(Fin_Analysis!H86*G7)</f>
        <v>14.358490757164459</v>
      </c>
    </row>
    <row r="25" spans="1:8" ht="15.75" customHeight="1" x14ac:dyDescent="0.35">
      <c r="B25" s="28" t="s">
        <v>240</v>
      </c>
      <c r="C25" s="44">
        <f>Fin_Analysis!I80</f>
        <v>0</v>
      </c>
      <c r="F25" s="39" t="s">
        <v>151</v>
      </c>
      <c r="G25" s="44">
        <f>Fin_Analysis!I88</f>
        <v>0.16693558551167018</v>
      </c>
    </row>
    <row r="26" spans="1:8" ht="15.75" customHeight="1" x14ac:dyDescent="0.35">
      <c r="B26" s="45" t="s">
        <v>241</v>
      </c>
      <c r="C26" s="44">
        <f>Fin_Analysis!I80+Fin_Analysis!I82</f>
        <v>0</v>
      </c>
      <c r="F26" s="46" t="s">
        <v>166</v>
      </c>
      <c r="G26" s="47">
        <f>Fin_Analysis!H88*Exchange_Rate/G3</f>
        <v>1.1626262699537156E-2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2" t="s">
        <v>223</v>
      </c>
      <c r="H28" s="312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70.843596878945817</v>
      </c>
      <c r="D29" s="54">
        <f>G29*(1+G20)</f>
        <v>124.04179771193927</v>
      </c>
      <c r="E29" s="3"/>
      <c r="F29" s="55">
        <f>IF(Fin_Analysis!C108="Profit",Fin_Analysis!F100,IF(Fin_Analysis!C108="Dividend",Fin_Analysis!F103,Fin_Analysis!F106))</f>
        <v>83.345408092877435</v>
      </c>
      <c r="G29" s="313">
        <f>IF(Fin_Analysis!C108="Profit",Fin_Analysis!I100,IF(Fin_Analysis!C108="Dividend",Fin_Analysis!I103,Fin_Analysis!I106))</f>
        <v>107.86243279299067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agree</v>
      </c>
    </row>
    <row r="34" spans="1:4" ht="15.75" customHeight="1" x14ac:dyDescent="0.35">
      <c r="B34" s="57" t="s">
        <v>197</v>
      </c>
      <c r="C34" s="58" t="str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Strongly agree</v>
      </c>
    </row>
    <row r="35" spans="1:4" ht="15.75" customHeight="1" x14ac:dyDescent="0.35">
      <c r="B35" s="83" t="s">
        <v>257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agree</v>
      </c>
    </row>
    <row r="37" spans="1:4" ht="15.75" customHeight="1" x14ac:dyDescent="0.35">
      <c r="B37" s="56" t="s">
        <v>210</v>
      </c>
      <c r="C37" s="112" t="str">
        <f>Inputs!C19</f>
        <v>agree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agree</v>
      </c>
    </row>
    <row r="40" spans="1:4" ht="15.75" customHeight="1" x14ac:dyDescent="0.35">
      <c r="B40" s="2" t="s">
        <v>202</v>
      </c>
      <c r="C40" s="112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:H2"/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45382</v>
      </c>
      <c r="E3" s="138" t="s">
        <v>173</v>
      </c>
      <c r="F3" s="139" t="str">
        <f>H14</f>
        <v/>
      </c>
      <c r="G3" s="139">
        <f>C14</f>
        <v>145105.66666666666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45382</v>
      </c>
      <c r="D5" s="287">
        <f>EOMONTH(EDATE(C5,-12),0)</f>
        <v>45016</v>
      </c>
      <c r="E5" s="287">
        <f t="shared" ref="E5:M5" si="0">EOMONTH(EDATE(D5,-12),0)</f>
        <v>44651</v>
      </c>
      <c r="F5" s="287">
        <f t="shared" si="0"/>
        <v>44286</v>
      </c>
      <c r="G5" s="287">
        <f t="shared" si="0"/>
        <v>43921</v>
      </c>
      <c r="H5" s="287">
        <f t="shared" si="0"/>
        <v>43555</v>
      </c>
      <c r="I5" s="287">
        <f t="shared" si="0"/>
        <v>43190</v>
      </c>
      <c r="J5" s="287">
        <f t="shared" si="0"/>
        <v>42825</v>
      </c>
      <c r="K5" s="287">
        <f t="shared" si="0"/>
        <v>42460</v>
      </c>
      <c r="L5" s="287">
        <f t="shared" si="0"/>
        <v>42094</v>
      </c>
      <c r="M5" s="287">
        <f t="shared" si="0"/>
        <v>41729</v>
      </c>
    </row>
    <row r="6" spans="1:14" ht="15.75" customHeight="1" x14ac:dyDescent="0.35">
      <c r="A6" s="135"/>
      <c r="B6" s="263" t="s">
        <v>11</v>
      </c>
      <c r="C6" s="142">
        <f>IF(Inputs!C25=""," ",Inputs!C25)</f>
        <v>941168</v>
      </c>
      <c r="D6" s="142">
        <f>IF(Inputs!D25="","",Inputs!D25)</f>
        <v>868687</v>
      </c>
      <c r="E6" s="142">
        <f>IF(Inputs!E25="","",Inputs!E25)</f>
        <v>853062</v>
      </c>
      <c r="F6" s="142" t="str">
        <f>IF(Inputs!F25="","",Inputs!F25)</f>
        <v/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8.3437417619925291E-2</v>
      </c>
      <c r="D7" s="143">
        <f t="shared" si="1"/>
        <v>1.8316370908562307E-2</v>
      </c>
      <c r="E7" s="143" t="str">
        <f t="shared" si="1"/>
        <v/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586323</v>
      </c>
      <c r="D8" s="144">
        <f>IF(Inputs!D26="","",Inputs!D26)</f>
        <v>549695</v>
      </c>
      <c r="E8" s="144">
        <f>IF(Inputs!E26="","",Inputs!E26)</f>
        <v>539450</v>
      </c>
      <c r="F8" s="144" t="str">
        <f>IF(Inputs!F26="","",Inputs!F26)</f>
        <v/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354845</v>
      </c>
      <c r="D9" s="273">
        <f t="shared" si="2"/>
        <v>318992</v>
      </c>
      <c r="E9" s="273">
        <f t="shared" si="2"/>
        <v>313612</v>
      </c>
      <c r="F9" s="273" t="str">
        <f t="shared" si="2"/>
        <v/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157126</v>
      </c>
      <c r="D10" s="144">
        <f>IF(Inputs!D27="","",Inputs!D27)</f>
        <v>145679</v>
      </c>
      <c r="E10" s="144">
        <f>IF(Inputs!E27="","",Inputs!E27)</f>
        <v>151721</v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>
        <f>IF(Inputs!C28="","",Inputs!C28)</f>
        <v>52256</v>
      </c>
      <c r="D11" s="144">
        <f>IF(Inputs!D28="","",Inputs!D28)</f>
        <v>56744</v>
      </c>
      <c r="E11" s="144">
        <f>IF(Inputs!E28="","",Inputs!E28)</f>
        <v>55465</v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>
        <f>IF(Inputs!C31="","",MAX(Inputs!C31,0)/(1-Fin_Analysis!$I$84))</f>
        <v>357.33333333333331</v>
      </c>
      <c r="D12" s="144">
        <f>IF(Inputs!D31="","",MAX(Inputs!D31,0)/(1-Fin_Analysis!$I$84))</f>
        <v>365.33333333333331</v>
      </c>
      <c r="E12" s="144">
        <f>IF(Inputs!E31="","",MAX(Inputs!E31,0)/(1-Fin_Analysis!$I$84))</f>
        <v>386.66666666666669</v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0.15417615841875909</v>
      </c>
      <c r="D13" s="292">
        <f t="shared" si="3"/>
        <v>0.13376931698835906</v>
      </c>
      <c r="E13" s="292">
        <f t="shared" si="3"/>
        <v>0.12430436865472068</v>
      </c>
      <c r="F13" s="292" t="str">
        <f t="shared" si="3"/>
        <v/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145105.66666666666</v>
      </c>
      <c r="D14" s="294">
        <f t="shared" ref="D14:M14" si="4">IF(D6="","",D9-D10-MAX(D11,0)-MAX(D12,0))</f>
        <v>116203.66666666667</v>
      </c>
      <c r="E14" s="294">
        <f t="shared" si="4"/>
        <v>106039.33333333333</v>
      </c>
      <c r="F14" s="294" t="str">
        <f t="shared" si="4"/>
        <v/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0.24871848564732596</v>
      </c>
      <c r="D15" s="296">
        <f t="shared" ref="D15:M15" si="5">IF(E14="","",IF(ABS(D14+E14)=ABS(D14)+ABS(E14),IF(D14&lt;0,-1,1)*(D14-E14)/E14,"Turn"))</f>
        <v>9.5854368504768764E-2</v>
      </c>
      <c r="E15" s="296" t="str">
        <f t="shared" si="5"/>
        <v/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279</v>
      </c>
      <c r="C16" s="147" t="str">
        <f>IF(C17="","",C17-C14)</f>
        <v/>
      </c>
      <c r="D16" s="147">
        <f t="shared" ref="D16:M16" si="6">IF(D17="","",D17-D14)</f>
        <v>-115929.66666666667</v>
      </c>
      <c r="E16" s="147">
        <f t="shared" si="6"/>
        <v>-105749.33333333333</v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276</v>
      </c>
      <c r="C17" s="307" t="str">
        <f>IF(Inputs!C30="","",Inputs!C30)</f>
        <v/>
      </c>
      <c r="D17" s="307">
        <f>IF(Inputs!D30="","",Inputs!D30)</f>
        <v>274</v>
      </c>
      <c r="E17" s="307">
        <f>IF(Inputs!E30="","",Inputs!E30)</f>
        <v>290</v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7947</v>
      </c>
      <c r="D19" s="144">
        <f>IF(Inputs!D29="","",Inputs!D29)</f>
        <v>5918</v>
      </c>
      <c r="E19" s="144">
        <f>IF(Inputs!E29="","",Inputs!E29)</f>
        <v>4909</v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0</v>
      </c>
      <c r="D22" s="227">
        <f t="shared" si="8"/>
        <v>0</v>
      </c>
      <c r="E22" s="227">
        <f t="shared" si="8"/>
        <v>0</v>
      </c>
      <c r="F22" s="227" t="str">
        <f t="shared" si="8"/>
        <v/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280</v>
      </c>
      <c r="C24" s="309">
        <f t="shared" ref="C24:M24" si="9">IF(C6="","",C14-MAX(C18,0)-MAX(C19,0)-ABS(MAX(C23,0)-MAX(C21,0)))</f>
        <v>137158.66666666666</v>
      </c>
      <c r="D24" s="309">
        <f t="shared" si="9"/>
        <v>110285.66666666667</v>
      </c>
      <c r="E24" s="309">
        <f t="shared" si="9"/>
        <v>101130.33333333333</v>
      </c>
      <c r="F24" s="309" t="str">
        <f t="shared" si="9"/>
        <v/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0.10929929619366574</v>
      </c>
      <c r="D25" s="143">
        <f t="shared" si="10"/>
        <v>9.5217552467114164E-2</v>
      </c>
      <c r="E25" s="143">
        <f t="shared" si="10"/>
        <v>8.8912353381114154E-2</v>
      </c>
      <c r="F25" s="143" t="str">
        <f t="shared" si="10"/>
        <v/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281</v>
      </c>
      <c r="C26" s="275">
        <f>IF(C6="","",C24*(1-Fin_Analysis!$I$84))</f>
        <v>102869</v>
      </c>
      <c r="D26" s="276">
        <f>IF(D6="","",D24*(1-Fin_Analysis!$I$84))</f>
        <v>82714.25</v>
      </c>
      <c r="E26" s="276">
        <f>IF(E6="","",E24*(1-Fin_Analysis!$I$84))</f>
        <v>75847.75</v>
      </c>
      <c r="F26" s="276" t="str">
        <f>IF(F6="","",F24*(1-Fin_Analysis!$I$84))</f>
        <v/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0.24366720365596012</v>
      </c>
      <c r="D27" s="305">
        <f t="shared" si="11"/>
        <v>9.0530042090899196E-2</v>
      </c>
      <c r="E27" s="305" t="str">
        <f t="shared" si="11"/>
        <v/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45382</v>
      </c>
      <c r="D28" s="287">
        <f>D5</f>
        <v>45016</v>
      </c>
      <c r="E28" s="287">
        <f t="shared" ref="E28" si="12">EOMONTH(EDATE(D28,-12),0)</f>
        <v>44651</v>
      </c>
      <c r="F28" s="287">
        <f t="shared" ref="F28" si="13">EOMONTH(EDATE(E28,-12),0)</f>
        <v>44286</v>
      </c>
      <c r="G28" s="287">
        <f t="shared" ref="G28" si="14">EOMONTH(EDATE(F28,-12),0)</f>
        <v>43921</v>
      </c>
      <c r="H28" s="287">
        <f t="shared" ref="H28" si="15">EOMONTH(EDATE(G28,-12),0)</f>
        <v>43555</v>
      </c>
      <c r="I28" s="287">
        <f t="shared" ref="I28" si="16">EOMONTH(EDATE(H28,-12),0)</f>
        <v>43190</v>
      </c>
      <c r="J28" s="287">
        <f t="shared" ref="J28" si="17">EOMONTH(EDATE(I28,-12),0)</f>
        <v>42825</v>
      </c>
      <c r="K28" s="287">
        <f t="shared" ref="K28" si="18">EOMONTH(EDATE(J28,-12),0)</f>
        <v>42460</v>
      </c>
      <c r="L28" s="287">
        <f t="shared" ref="L28" si="19">EOMONTH(EDATE(K28,-12),0)</f>
        <v>42094</v>
      </c>
      <c r="M28" s="287">
        <f t="shared" ref="M28" si="20">EOMONTH(EDATE(L28,-12),0)</f>
        <v>41729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1764829</v>
      </c>
      <c r="D29" s="147">
        <f>IF(D36="","",D36+D32)</f>
        <v>1753044</v>
      </c>
      <c r="E29" s="147">
        <f t="shared" ref="E29:M29" si="21">IF(E36="","",E36+E32)</f>
        <v>1695553</v>
      </c>
      <c r="F29" s="147">
        <f t="shared" si="21"/>
        <v>1690218</v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143536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652230</v>
      </c>
      <c r="D32" s="144">
        <f>IF(Inputs!D37="","",Inputs!D37)</f>
        <v>630123</v>
      </c>
      <c r="E32" s="144">
        <f>IF(Inputs!E37="","",Inputs!E37)</f>
        <v>613360</v>
      </c>
      <c r="F32" s="144">
        <f>IF(Inputs!F37="","",Inputs!F37)</f>
        <v>606584</v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29001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141775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170776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1112599</v>
      </c>
      <c r="D36" s="144">
        <f>IF(Inputs!D41="","",Inputs!D41)</f>
        <v>1122921</v>
      </c>
      <c r="E36" s="144">
        <f>IF(Inputs!E41="","",Inputs!E41)</f>
        <v>1082193</v>
      </c>
      <c r="F36" s="144">
        <f>IF(Inputs!F41="","",Inputs!F41)</f>
        <v>1083634</v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115327</v>
      </c>
      <c r="D37" s="144">
        <f>IF(Inputs!D42="","",Inputs!D42)</f>
        <v>123406</v>
      </c>
      <c r="E37" s="144">
        <f>IF(Inputs!E42="","",Inputs!E42)</f>
        <v>124059</v>
      </c>
      <c r="F37" s="144">
        <f>IF(Inputs!F42="","",Inputs!F42)</f>
        <v>137491</v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769727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>
        <f>IF(C6="","",C14/MAX(C39,0))</f>
        <v>0.18851575515301744</v>
      </c>
      <c r="D40" s="148" t="e">
        <f>IF(D6="","",D14/MAX(D39,0))</f>
        <v>#DIV/0!</v>
      </c>
      <c r="E40" s="148" t="e">
        <f>IF(E6="","",E14/MAX(E39,0))</f>
        <v>#DIV/0!</v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0.62297379426414834</v>
      </c>
      <c r="D42" s="150">
        <f t="shared" si="35"/>
        <v>0.63278833457850758</v>
      </c>
      <c r="E42" s="150">
        <f t="shared" si="35"/>
        <v>0.63236904234393276</v>
      </c>
      <c r="F42" s="150" t="str">
        <f t="shared" si="35"/>
        <v/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0.22247037723339511</v>
      </c>
      <c r="D43" s="146">
        <f t="shared" si="36"/>
        <v>0.23302179035717122</v>
      </c>
      <c r="E43" s="146">
        <f t="shared" si="36"/>
        <v>0.24287331987592931</v>
      </c>
      <c r="F43" s="146" t="str">
        <f t="shared" si="36"/>
        <v/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0</v>
      </c>
      <c r="E44" s="146">
        <f t="shared" si="37"/>
        <v>0</v>
      </c>
      <c r="F44" s="146" t="str">
        <f t="shared" si="37"/>
        <v/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8.4437634938714454E-3</v>
      </c>
      <c r="D45" s="146">
        <f t="shared" si="38"/>
        <v>6.8125803655401775E-3</v>
      </c>
      <c r="E45" s="146">
        <f t="shared" si="38"/>
        <v>5.7545641465684789E-3</v>
      </c>
      <c r="F45" s="146" t="str">
        <f t="shared" si="38"/>
        <v/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3.796700836974199E-4</v>
      </c>
      <c r="D46" s="146">
        <f t="shared" si="39"/>
        <v>4.205580759621513E-4</v>
      </c>
      <c r="E46" s="146">
        <f t="shared" si="39"/>
        <v>4.5326912541722252E-4</v>
      </c>
      <c r="F46" s="146" t="str">
        <f t="shared" si="39"/>
        <v/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0</v>
      </c>
      <c r="D47" s="146">
        <f t="shared" si="40"/>
        <v>0</v>
      </c>
      <c r="E47" s="146">
        <f t="shared" si="40"/>
        <v>0</v>
      </c>
      <c r="F47" s="146" t="str">
        <f t="shared" si="40"/>
        <v/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0.14573239492488765</v>
      </c>
      <c r="D48" s="281">
        <f t="shared" si="41"/>
        <v>0.12695673662281889</v>
      </c>
      <c r="E48" s="281">
        <f t="shared" si="41"/>
        <v>0.1185498045081522</v>
      </c>
      <c r="F48" s="281" t="str">
        <f t="shared" si="41"/>
        <v/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>
        <f t="shared" ref="C50:M50" si="42">IF(C6="","",C6/C29)</f>
        <v>0.53329132737506013</v>
      </c>
      <c r="D50" s="153">
        <f t="shared" si="42"/>
        <v>0.49553063129048674</v>
      </c>
      <c r="E50" s="153">
        <f t="shared" si="42"/>
        <v>0.50311727206404044</v>
      </c>
      <c r="F50" s="153" t="str">
        <f t="shared" si="42"/>
        <v/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0.15250837257535318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 t="e">
        <f t="shared" ref="C53:M53" si="45">IF(D6="","",C18/(C6-D6))</f>
        <v>#VALUE!</v>
      </c>
      <c r="D53" s="146" t="e">
        <f t="shared" si="45"/>
        <v>#VALUE!</v>
      </c>
      <c r="E53" s="146" t="str">
        <f t="shared" si="45"/>
        <v/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>
        <f t="shared" ref="C55:M55" si="46">IF(C36="","",(C36-C37)/C29)</f>
        <v>0.56508137615599019</v>
      </c>
      <c r="D55" s="150">
        <f t="shared" si="46"/>
        <v>0.57015967653977884</v>
      </c>
      <c r="E55" s="150">
        <f t="shared" si="46"/>
        <v>0.56508643492712995</v>
      </c>
      <c r="F55" s="150">
        <f t="shared" si="46"/>
        <v>0.55977572123832542</v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>
        <f t="shared" ref="C56:M56" si="47">IF(OR(C24="",C35=""),"",IF(C35&lt;=0,"-",C24/C35))</f>
        <v>0.80314954482284784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5.7940195782986134E-2</v>
      </c>
      <c r="D57" s="146">
        <f t="shared" si="48"/>
        <v>5.3660644931193838E-2</v>
      </c>
      <c r="E57" s="146">
        <f t="shared" si="48"/>
        <v>4.8541321265297921E-2</v>
      </c>
      <c r="F57" s="146" t="str">
        <f t="shared" si="48"/>
        <v/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>
        <f>IF(D36="","",IF(Inputs!D38=0,0,Inputs!D38/D29))</f>
        <v>0</v>
      </c>
      <c r="E58" s="146">
        <f>IF(E36="","",IF(Inputs!E38=0,0,Inputs!E38/E29))</f>
        <v>0</v>
      </c>
      <c r="F58" s="146">
        <f>IF(F36="","",IF(Inputs!F38=0,0,Inputs!F38/F29))</f>
        <v>0</v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>
        <f t="shared" ref="C60:M60" si="50">IF(C14="","",C14/(C36-C37))</f>
        <v>0.14550259775333776</v>
      </c>
      <c r="D60" s="156">
        <f t="shared" si="50"/>
        <v>0.11626005279227092</v>
      </c>
      <c r="E60" s="156">
        <f t="shared" si="50"/>
        <v>0.11067275906432016</v>
      </c>
      <c r="F60" s="156" t="str">
        <f t="shared" si="50"/>
        <v/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>
        <f t="shared" ref="C61:M61" si="51">IF(C24="","",C24/(C36-C37))</f>
        <v>0.13753385903411172</v>
      </c>
      <c r="D61" s="156">
        <f t="shared" si="51"/>
        <v>0.1103391811695339</v>
      </c>
      <c r="E61" s="156">
        <f t="shared" si="51"/>
        <v>0.10554925859361355</v>
      </c>
      <c r="F61" s="156" t="str">
        <f t="shared" si="51"/>
        <v/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261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1112599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997272</v>
      </c>
      <c r="K3" s="75"/>
    </row>
    <row r="4" spans="1:11" ht="15" customHeight="1" x14ac:dyDescent="0.35">
      <c r="B4" s="9" t="s">
        <v>21</v>
      </c>
      <c r="C4" s="3"/>
      <c r="D4" s="144">
        <f>Inputs!C42</f>
        <v>115327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>
        <f>C28/I28</f>
        <v>1.7861245483467654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22934.716096023883</v>
      </c>
      <c r="E6" s="170">
        <f>1-D6/D3</f>
        <v>0.97938635923992035</v>
      </c>
      <c r="F6" s="3"/>
      <c r="G6" s="3"/>
      <c r="H6" s="2" t="s">
        <v>24</v>
      </c>
      <c r="I6" s="168">
        <f>(C24+C25)/I28</f>
        <v>1.7861245483467654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1.2786852661589427</v>
      </c>
      <c r="E7" s="167" t="str">
        <f>Dashboard!H3</f>
        <v>HKD</v>
      </c>
      <c r="H7" s="2" t="s">
        <v>25</v>
      </c>
      <c r="I7" s="168">
        <f>C24/I28</f>
        <v>1.1622796299942824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45382</v>
      </c>
      <c r="E9" s="133" t="str">
        <f>IF(MONTH(D9)=MONTH(Data!C3),"FY","Quarter")</f>
        <v>FY</v>
      </c>
      <c r="F9" s="8"/>
      <c r="G9" s="8"/>
      <c r="H9" s="8"/>
      <c r="I9" s="8"/>
      <c r="K9" s="75"/>
    </row>
    <row r="10" spans="1:11" ht="15" customHeight="1" x14ac:dyDescent="0.35">
      <c r="B10" s="83" t="s">
        <v>260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273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248125</v>
      </c>
      <c r="D11" s="258">
        <f>Inputs!D48</f>
        <v>0.9</v>
      </c>
      <c r="E11" s="176">
        <f t="shared" ref="E11:E22" si="0">C11*D11</f>
        <v>223312.5</v>
      </c>
      <c r="F11" s="260"/>
      <c r="G11" s="3"/>
      <c r="H11" s="9" t="s">
        <v>31</v>
      </c>
      <c r="I11" s="175">
        <f>Inputs!C73</f>
        <v>12749</v>
      </c>
      <c r="J11" s="3"/>
      <c r="K11" s="75"/>
    </row>
    <row r="12" spans="1:11" ht="11.65" x14ac:dyDescent="0.35">
      <c r="B12" s="2" t="s">
        <v>123</v>
      </c>
      <c r="C12" s="175">
        <f>Inputs!C49</f>
        <v>38299</v>
      </c>
      <c r="D12" s="258">
        <f>Inputs!D49</f>
        <v>0.8</v>
      </c>
      <c r="E12" s="176">
        <f t="shared" si="0"/>
        <v>30639.200000000001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143536</v>
      </c>
      <c r="D13" s="258">
        <f>Inputs!D50</f>
        <v>0.6</v>
      </c>
      <c r="E13" s="176">
        <f t="shared" si="0"/>
        <v>86121.599999999991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59949</v>
      </c>
      <c r="D14" s="258">
        <f>Inputs!D51</f>
        <v>0.6</v>
      </c>
      <c r="E14" s="176">
        <f t="shared" si="0"/>
        <v>35969.4</v>
      </c>
      <c r="F14" s="260"/>
      <c r="G14" s="3"/>
      <c r="H14" s="8" t="s">
        <v>35</v>
      </c>
      <c r="I14" s="178">
        <f>Inputs!C76</f>
        <v>16252</v>
      </c>
      <c r="J14" s="3"/>
      <c r="K14" s="179"/>
    </row>
    <row r="15" spans="1:11" ht="11.65" x14ac:dyDescent="0.35">
      <c r="B15" s="9" t="s">
        <v>36</v>
      </c>
      <c r="C15" s="175">
        <f>Inputs!C52</f>
        <v>262955</v>
      </c>
      <c r="D15" s="258">
        <f>Inputs!D52</f>
        <v>0.5</v>
      </c>
      <c r="E15" s="176">
        <f t="shared" si="0"/>
        <v>131477.5</v>
      </c>
      <c r="F15" s="260"/>
      <c r="G15" s="3"/>
      <c r="H15" s="2" t="s">
        <v>46</v>
      </c>
      <c r="I15" s="180">
        <f>SUM(I11:I14)</f>
        <v>29001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392506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489909</v>
      </c>
      <c r="D24" s="185">
        <f>IF(E24=0,0,E24/C24)</f>
        <v>0.76757663157851763</v>
      </c>
      <c r="E24" s="176">
        <f>SUM(E11:E14)</f>
        <v>376042.7</v>
      </c>
      <c r="F24" s="186">
        <f>E24/$E$28</f>
        <v>0.74094134578288706</v>
      </c>
      <c r="G24" s="3"/>
    </row>
    <row r="25" spans="2:10" ht="15" customHeight="1" x14ac:dyDescent="0.35">
      <c r="B25" s="183" t="s">
        <v>47</v>
      </c>
      <c r="C25" s="184">
        <f>SUM(C15:C17)</f>
        <v>262955</v>
      </c>
      <c r="D25" s="185">
        <f>IF(E25=0,0,E25/C25)</f>
        <v>0.5</v>
      </c>
      <c r="E25" s="176">
        <f>SUM(E15:E17)</f>
        <v>131477.5</v>
      </c>
      <c r="F25" s="186">
        <f>E25/$E$28</f>
        <v>0.25905865421711294</v>
      </c>
      <c r="G25" s="3"/>
      <c r="H25" s="183" t="s">
        <v>48</v>
      </c>
      <c r="I25" s="168">
        <f>E28/I28</f>
        <v>1.2040611425195786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>
        <f>E26/$E$28</f>
        <v>0</v>
      </c>
      <c r="G26" s="3"/>
      <c r="H26" s="183" t="s">
        <v>50</v>
      </c>
      <c r="I26" s="168">
        <f>E24/($I$28-I22)</f>
        <v>12.966542533016103</v>
      </c>
      <c r="J26" s="187" t="str">
        <f>IF(I26&lt;1,"Liquidity Problem!","")</f>
        <v/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>
        <f>E27/$E$28</f>
        <v>0</v>
      </c>
      <c r="G27" s="3"/>
      <c r="H27" s="183" t="s">
        <v>52</v>
      </c>
      <c r="I27" s="168">
        <f>(E25+E24)/$I$28</f>
        <v>1.2040611425195786</v>
      </c>
      <c r="J27" s="187" t="str">
        <f>IF(OR(I27&lt;0.75,C28&lt;I28),"Liquidity Issue!","")</f>
        <v/>
      </c>
    </row>
    <row r="28" spans="2:10" ht="15" customHeight="1" x14ac:dyDescent="0.35">
      <c r="B28" s="188" t="s">
        <v>14</v>
      </c>
      <c r="C28" s="189">
        <f>SUM(C11:C22)</f>
        <v>752864</v>
      </c>
      <c r="D28" s="190">
        <f>E28/C28</f>
        <v>0.67411936285969309</v>
      </c>
      <c r="E28" s="191">
        <f>SUM(E24:E27)</f>
        <v>507520.2</v>
      </c>
      <c r="F28" s="87"/>
      <c r="G28" s="3"/>
      <c r="H28" s="188" t="s">
        <v>15</v>
      </c>
      <c r="I28" s="161">
        <f>Inputs!C77</f>
        <v>421507</v>
      </c>
      <c r="J28" s="192">
        <f>IF(J26="",1,0)+IF(J27="",1,0)+IF(J46="",1,0)+IF(J47="",1,0)</f>
        <v>4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55686</v>
      </c>
      <c r="J30" s="3"/>
    </row>
    <row r="31" spans="2:10" ht="15" customHeight="1" x14ac:dyDescent="0.35">
      <c r="B31" s="9" t="s">
        <v>55</v>
      </c>
      <c r="C31" s="175">
        <f>Inputs!C61</f>
        <v>424073</v>
      </c>
      <c r="D31" s="258">
        <f>Inputs!D61</f>
        <v>0.6</v>
      </c>
      <c r="E31" s="176">
        <f t="shared" ref="E31:E42" si="1">C31*D31</f>
        <v>254443.8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86089</v>
      </c>
      <c r="J33" s="3"/>
    </row>
    <row r="34" spans="2:10" ht="11.65" x14ac:dyDescent="0.35">
      <c r="B34" s="9" t="s">
        <v>60</v>
      </c>
      <c r="C34" s="175">
        <f>Inputs!C64</f>
        <v>116102</v>
      </c>
      <c r="D34" s="258">
        <f>Inputs!D64</f>
        <v>0.4</v>
      </c>
      <c r="E34" s="176">
        <f t="shared" si="1"/>
        <v>46440.800000000003</v>
      </c>
      <c r="F34" s="260"/>
      <c r="G34" s="3"/>
      <c r="H34" s="2" t="s">
        <v>70</v>
      </c>
      <c r="I34" s="180">
        <f>SUM(I30:I33)</f>
        <v>141775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185161</v>
      </c>
      <c r="D38" s="258">
        <f>Inputs!D68</f>
        <v>0.1</v>
      </c>
      <c r="E38" s="176">
        <f t="shared" si="1"/>
        <v>18516.100000000002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26950</v>
      </c>
      <c r="D40" s="258">
        <f>Inputs!D70</f>
        <v>0.05</v>
      </c>
      <c r="E40" s="176">
        <f t="shared" si="1"/>
        <v>1347.5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259679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88948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424073</v>
      </c>
      <c r="D44" s="185">
        <f>IF(E44=0,0,E44/C44)</f>
        <v>0.6</v>
      </c>
      <c r="E44" s="176">
        <f>SUM(E30:E31)</f>
        <v>254443.8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116102</v>
      </c>
      <c r="D45" s="185">
        <f>IF(E45=0,0,E45/C45)</f>
        <v>0.4</v>
      </c>
      <c r="E45" s="176">
        <f>SUM(E32:E35)</f>
        <v>46440.800000000003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185161</v>
      </c>
      <c r="D46" s="185">
        <f>IF(E46=0,0,E46/C46)</f>
        <v>0.1</v>
      </c>
      <c r="E46" s="176">
        <f>E36+E37+E38+E39</f>
        <v>18516.100000000002</v>
      </c>
      <c r="F46" s="3"/>
      <c r="G46" s="3"/>
      <c r="H46" s="183" t="s">
        <v>73</v>
      </c>
      <c r="I46" s="168">
        <f>(E44+E24)/E64</f>
        <v>3.6918917178057806</v>
      </c>
      <c r="J46" s="187" t="str">
        <f>IF(I46&lt;1,"Liquidity Problem!","")</f>
        <v/>
      </c>
    </row>
    <row r="47" spans="2:10" ht="15" customHeight="1" x14ac:dyDescent="0.35">
      <c r="B47" s="183" t="s">
        <v>74</v>
      </c>
      <c r="C47" s="184">
        <f>C40+C41+C42</f>
        <v>286629</v>
      </c>
      <c r="D47" s="185">
        <f>IF(E47=0,0,E47/C47)</f>
        <v>4.7011991110459863E-3</v>
      </c>
      <c r="E47" s="176">
        <f>E40+E41+E42</f>
        <v>1347.5</v>
      </c>
      <c r="F47" s="3"/>
      <c r="G47" s="3"/>
      <c r="H47" s="183" t="s">
        <v>75</v>
      </c>
      <c r="I47" s="168">
        <f>(E44+E45+E24+E25)/$I$49</f>
        <v>1.2394474341873267</v>
      </c>
      <c r="J47" s="187" t="str">
        <f>IF(OR(I47&lt;0.5,C49&lt;I49),"Liquidity Issue!","")</f>
        <v/>
      </c>
    </row>
    <row r="48" spans="2:10" ht="15" customHeight="1" thickBot="1" x14ac:dyDescent="0.4">
      <c r="B48" s="91" t="s">
        <v>76</v>
      </c>
      <c r="C48" s="194">
        <f>SUM(C30:C42)</f>
        <v>1011965</v>
      </c>
      <c r="D48" s="195">
        <f>E48/C48</f>
        <v>0.31695582357097324</v>
      </c>
      <c r="E48" s="196">
        <f>SUM(E30:E42)</f>
        <v>320748.19999999995</v>
      </c>
      <c r="F48" s="3"/>
      <c r="G48" s="3"/>
      <c r="H48" s="91" t="s">
        <v>77</v>
      </c>
      <c r="I48" s="197">
        <f>I49-I28</f>
        <v>230723</v>
      </c>
      <c r="J48" s="187"/>
    </row>
    <row r="49" spans="2:11" ht="15" customHeight="1" thickTop="1" x14ac:dyDescent="0.35">
      <c r="B49" s="9" t="s">
        <v>13</v>
      </c>
      <c r="C49" s="184">
        <f>Inputs!C41+Inputs!C37</f>
        <v>1764829</v>
      </c>
      <c r="D49" s="170">
        <f>E49/C49</f>
        <v>0.46931935048664764</v>
      </c>
      <c r="E49" s="176">
        <f>E28+E48</f>
        <v>828268.39999999991</v>
      </c>
      <c r="F49" s="3"/>
      <c r="G49" s="3"/>
      <c r="H49" s="9" t="s">
        <v>78</v>
      </c>
      <c r="I49" s="175">
        <f>Inputs!C37</f>
        <v>652230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259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P/B Approach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115327</v>
      </c>
      <c r="D53" s="34">
        <f>IF(E53=0, 0,E53/C53)</f>
        <v>1.3275614895382351</v>
      </c>
      <c r="E53" s="176">
        <f>IF(C53=0,0,MAX(C53,C53*Dashboard!G23))</f>
        <v>153103.68390397602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170776</v>
      </c>
      <c r="E56" s="321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22">
        <f>Inputs!C84</f>
        <v>0</v>
      </c>
      <c r="E57" s="321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22">
        <f>Inputs!C85</f>
        <v>0</v>
      </c>
      <c r="E58" s="321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746977</v>
      </c>
      <c r="D61" s="170">
        <f t="shared" ref="D61:D70" si="2">IF(E61=0,0,E61/C61)</f>
        <v>0.56479744356251926</v>
      </c>
      <c r="E61" s="182">
        <f>E14+E15+(E19*G19)+(E20*G20)+E31+E32+(E35*G35)+(E36*G36)+(E37*G37)</f>
        <v>421890.69999999995</v>
      </c>
      <c r="F61" s="3"/>
      <c r="G61" s="3"/>
      <c r="H61" s="2" t="s">
        <v>253</v>
      </c>
      <c r="I61" s="203">
        <f>C99*Data!$C$4/Common_Shares</f>
        <v>9.8147152733762759</v>
      </c>
      <c r="K61" s="172"/>
    </row>
    <row r="62" spans="2:11" ht="11.65" x14ac:dyDescent="0.35">
      <c r="B62" s="12" t="s">
        <v>127</v>
      </c>
      <c r="C62" s="204">
        <f>C11+C30</f>
        <v>248125</v>
      </c>
      <c r="D62" s="205">
        <f t="shared" si="2"/>
        <v>0.9</v>
      </c>
      <c r="E62" s="206">
        <f>E11+E30</f>
        <v>223312.5</v>
      </c>
      <c r="F62" s="3"/>
      <c r="G62" s="3"/>
      <c r="H62" s="2" t="s">
        <v>275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995102</v>
      </c>
      <c r="D63" s="34">
        <f t="shared" si="2"/>
        <v>0.64837896014679897</v>
      </c>
      <c r="E63" s="184">
        <f>E61+E62</f>
        <v>645203.19999999995</v>
      </c>
      <c r="F63" s="3"/>
      <c r="G63" s="3"/>
      <c r="H63" s="2" t="s">
        <v>254</v>
      </c>
      <c r="I63" s="207">
        <f>IF(I61&gt;0,FV(I62,D93,0,-I61),I61)</f>
        <v>10.544826900668047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170776</v>
      </c>
      <c r="F64" s="3"/>
      <c r="G64" s="3"/>
      <c r="H64" s="2" t="s">
        <v>255</v>
      </c>
      <c r="I64" s="207">
        <f>IF(I61&gt;0,PV(C94,D93,0,-I63),I61)</f>
        <v>6.0290390046736828</v>
      </c>
      <c r="K64" s="172"/>
    </row>
    <row r="65" spans="1:11" ht="12" thickTop="1" x14ac:dyDescent="0.35">
      <c r="B65" s="9" t="s">
        <v>130</v>
      </c>
      <c r="C65" s="202">
        <f>C63-E64</f>
        <v>824326</v>
      </c>
      <c r="D65" s="34">
        <f t="shared" si="2"/>
        <v>0.57553346612869172</v>
      </c>
      <c r="E65" s="184">
        <f>E63-E64</f>
        <v>474427.19999999995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769727</v>
      </c>
      <c r="D68" s="34">
        <f t="shared" si="2"/>
        <v>0.23783133500578771</v>
      </c>
      <c r="E68" s="202">
        <f>E49-E63</f>
        <v>183065.19999999995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481454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288273</v>
      </c>
      <c r="D70" s="34">
        <f t="shared" si="2"/>
        <v>-1.0350910421718302</v>
      </c>
      <c r="E70" s="202">
        <f>E68-E69</f>
        <v>-298388.80000000005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45382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941168</v>
      </c>
      <c r="D74" s="98"/>
      <c r="E74" s="256">
        <f>Inputs!E91</f>
        <v>941168</v>
      </c>
      <c r="F74" s="98"/>
      <c r="H74" s="256">
        <f>Inputs!F91</f>
        <v>941168</v>
      </c>
      <c r="I74" s="98"/>
      <c r="K74" s="75"/>
    </row>
    <row r="75" spans="1:11" ht="15" customHeight="1" x14ac:dyDescent="0.35">
      <c r="B75" s="100" t="s">
        <v>97</v>
      </c>
      <c r="C75" s="97">
        <f>Data!C8</f>
        <v>586323</v>
      </c>
      <c r="D75" s="101">
        <f>C75/$C$74</f>
        <v>0.62297379426414834</v>
      </c>
      <c r="E75" s="256">
        <f>Inputs!E92</f>
        <v>586323</v>
      </c>
      <c r="F75" s="211">
        <f>E75/E74</f>
        <v>0.62297379426414834</v>
      </c>
      <c r="H75" s="256">
        <f>Inputs!F92</f>
        <v>586323</v>
      </c>
      <c r="I75" s="211">
        <f>H75/$H$74</f>
        <v>0.62297379426414834</v>
      </c>
      <c r="K75" s="75"/>
    </row>
    <row r="76" spans="1:11" ht="15" customHeight="1" x14ac:dyDescent="0.35">
      <c r="B76" s="12" t="s">
        <v>87</v>
      </c>
      <c r="C76" s="145">
        <f>C74-C75</f>
        <v>354845</v>
      </c>
      <c r="D76" s="212"/>
      <c r="E76" s="213">
        <f>E74-E75</f>
        <v>354845</v>
      </c>
      <c r="F76" s="212"/>
      <c r="H76" s="213">
        <f>H74-H75</f>
        <v>354845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209382</v>
      </c>
      <c r="D77" s="101">
        <f>C77/$C$74</f>
        <v>0.22247037723339511</v>
      </c>
      <c r="E77" s="256">
        <f>Inputs!E93</f>
        <v>209382</v>
      </c>
      <c r="F77" s="211">
        <f>E77/E74</f>
        <v>0.22247037723339511</v>
      </c>
      <c r="H77" s="256">
        <f>Inputs!F93</f>
        <v>209382</v>
      </c>
      <c r="I77" s="211">
        <f>H77/$H$74</f>
        <v>0.22247037723339511</v>
      </c>
      <c r="K77" s="75"/>
    </row>
    <row r="78" spans="1:11" ht="15" customHeight="1" x14ac:dyDescent="0.35">
      <c r="B78" s="93" t="s">
        <v>150</v>
      </c>
      <c r="C78" s="97">
        <f>MAX(Data!C12,0)</f>
        <v>357.33333333333331</v>
      </c>
      <c r="D78" s="101">
        <f>C78/$C$74</f>
        <v>3.796700836974199E-4</v>
      </c>
      <c r="E78" s="214">
        <f>E74*F78</f>
        <v>357.33333333333331</v>
      </c>
      <c r="F78" s="211">
        <f>I78</f>
        <v>3.796700836974199E-4</v>
      </c>
      <c r="H78" s="256">
        <f>Inputs!F97</f>
        <v>357.33333333333331</v>
      </c>
      <c r="I78" s="211">
        <f>H78/$H$74</f>
        <v>3.796700836974199E-4</v>
      </c>
      <c r="K78" s="75"/>
    </row>
    <row r="79" spans="1:11" ht="15" customHeight="1" x14ac:dyDescent="0.35">
      <c r="B79" s="215" t="s">
        <v>203</v>
      </c>
      <c r="C79" s="216">
        <f>C76-C77-C78</f>
        <v>145105.66666666666</v>
      </c>
      <c r="D79" s="217">
        <f>C79/C74</f>
        <v>0.15417615841875909</v>
      </c>
      <c r="E79" s="218">
        <f>E76-E77-E78</f>
        <v>145105.66666666666</v>
      </c>
      <c r="F79" s="217">
        <f>E79/E74</f>
        <v>0.15417615841875909</v>
      </c>
      <c r="G79" s="219"/>
      <c r="H79" s="218">
        <f>H76-H77-H78</f>
        <v>145105.66666666666</v>
      </c>
      <c r="I79" s="217">
        <f>H79/H74</f>
        <v>0.15417615841875909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7947</v>
      </c>
      <c r="D81" s="101">
        <f>C81/$C$74</f>
        <v>8.4437634938714454E-3</v>
      </c>
      <c r="E81" s="214">
        <f>E74*F81</f>
        <v>7947.0000000000009</v>
      </c>
      <c r="F81" s="211">
        <f>I81</f>
        <v>8.4437634938714454E-3</v>
      </c>
      <c r="H81" s="256">
        <f>Inputs!F94</f>
        <v>7947.0000000000009</v>
      </c>
      <c r="I81" s="211">
        <f>H81/$H$74</f>
        <v>8.4437634938714454E-3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113</v>
      </c>
      <c r="C83" s="222">
        <f>C79-C81-C82-C80</f>
        <v>137158.66666666666</v>
      </c>
      <c r="D83" s="223">
        <f>C83/$C$74</f>
        <v>0.14573239492488765</v>
      </c>
      <c r="E83" s="224">
        <f>E79-E81-E82-E80</f>
        <v>137158.66666666666</v>
      </c>
      <c r="F83" s="223">
        <f>E83/E74</f>
        <v>0.14573239492488765</v>
      </c>
      <c r="H83" s="224">
        <f>H79-H81-H82-H80</f>
        <v>137158.66666666666</v>
      </c>
      <c r="I83" s="223">
        <f>H83/$H$74</f>
        <v>0.14573239492488765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102869</v>
      </c>
      <c r="D85" s="217">
        <f>C85/$C$74</f>
        <v>0.10929929619366574</v>
      </c>
      <c r="E85" s="229">
        <f>E83*(1-F84)</f>
        <v>102869</v>
      </c>
      <c r="F85" s="217">
        <f>E85/E74</f>
        <v>0.10929929619366574</v>
      </c>
      <c r="G85" s="219"/>
      <c r="H85" s="229">
        <f>H83*(1-I84)</f>
        <v>102869</v>
      </c>
      <c r="I85" s="217">
        <f>H85/$H$74</f>
        <v>0.10929929619366574</v>
      </c>
      <c r="K85" s="75"/>
    </row>
    <row r="86" spans="1:11" ht="15" customHeight="1" x14ac:dyDescent="0.35">
      <c r="B86" s="3" t="s">
        <v>143</v>
      </c>
      <c r="C86" s="230">
        <f>C85*Data!C4/Common_Shares</f>
        <v>5.3913010652667737</v>
      </c>
      <c r="D86" s="98"/>
      <c r="E86" s="231">
        <f>E85*Data!C4/Common_Shares</f>
        <v>5.3913010652667737</v>
      </c>
      <c r="F86" s="98"/>
      <c r="H86" s="231">
        <f>H85*Data!C4/Common_Shares</f>
        <v>5.3913010652667737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6.9645202752317809E-2</v>
      </c>
      <c r="D87" s="98"/>
      <c r="E87" s="233">
        <f>E86*Exchange_Rate/Dashboard!G3</f>
        <v>6.9645202752317809E-2</v>
      </c>
      <c r="F87" s="98"/>
      <c r="H87" s="233">
        <f>H86*Exchange_Rate/Dashboard!G3</f>
        <v>6.9645202752317809E-2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0.9</v>
      </c>
      <c r="D88" s="235">
        <f>C88/C86</f>
        <v>0.16693558551167018</v>
      </c>
      <c r="E88" s="255">
        <f>Inputs!E98</f>
        <v>0.9</v>
      </c>
      <c r="F88" s="235">
        <f>E88/E86</f>
        <v>0.16693558551167018</v>
      </c>
      <c r="H88" s="255">
        <f>Inputs!F98</f>
        <v>0.9</v>
      </c>
      <c r="I88" s="235">
        <f>H88/H86</f>
        <v>0.16693558551167018</v>
      </c>
      <c r="K88" s="75"/>
    </row>
    <row r="89" spans="1:11" ht="15" customHeight="1" x14ac:dyDescent="0.35">
      <c r="B89" s="3" t="s">
        <v>193</v>
      </c>
      <c r="C89" s="232">
        <f>C88*Exchange_Rate/Dashboard!G3</f>
        <v>1.1626262699537156E-2</v>
      </c>
      <c r="D89" s="98"/>
      <c r="E89" s="232">
        <f>E88*Exchange_Rate/Dashboard!G3</f>
        <v>1.1626262699537156E-2</v>
      </c>
      <c r="F89" s="98"/>
      <c r="H89" s="232">
        <f>H88*Exchange_Rate/Dashboard!G3</f>
        <v>1.1626262699537156E-2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269</v>
      </c>
      <c r="C92" s="258" t="str">
        <f>Inputs!C15</f>
        <v>CN</v>
      </c>
      <c r="D92" s="83" t="s">
        <v>270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150.15638259538579</v>
      </c>
      <c r="H93" s="3" t="s">
        <v>182</v>
      </c>
      <c r="I93" s="237">
        <f>FV(H87,D93,0,-(H86/(C93-D94)))*Exchange_Rate</f>
        <v>150.15638259538579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0.03</v>
      </c>
      <c r="E94" s="3" t="s">
        <v>183</v>
      </c>
      <c r="F94" s="237">
        <f>FV(E89,D93,0,-(E88/(C93-D94)))*Exchange_Rate</f>
        <v>20.054605019710465</v>
      </c>
      <c r="H94" s="3" t="s">
        <v>183</v>
      </c>
      <c r="I94" s="237">
        <f>FV(H89,D93,0,-(H88/(C93-D94)))*Exchange_Rate</f>
        <v>20.054605019710465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1638111.1601137912</v>
      </c>
      <c r="D97" s="244"/>
      <c r="E97" s="245">
        <f>PV(C94,D93,0,-F93)</f>
        <v>85.852399095421092</v>
      </c>
      <c r="F97" s="244"/>
      <c r="H97" s="245">
        <f>PV(C94,D93,0,-I93)</f>
        <v>85.852399095421092</v>
      </c>
      <c r="I97" s="245">
        <f>PV(C93,D93,0,-I93)</f>
        <v>110.36942379553433</v>
      </c>
      <c r="K97" s="75"/>
    </row>
    <row r="98" spans="2:11" ht="15" customHeight="1" x14ac:dyDescent="0.35">
      <c r="B98" s="18" t="s">
        <v>132</v>
      </c>
      <c r="C98" s="243">
        <f>-E53*Exchange_Rate</f>
        <v>-162872.16391410891</v>
      </c>
      <c r="D98" s="244"/>
      <c r="E98" s="244"/>
      <c r="F98" s="244"/>
      <c r="H98" s="245">
        <f>C98*Data!$C$4/Common_Shares</f>
        <v>-8.5360300072173345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187270.18454996732</v>
      </c>
      <c r="D99" s="248"/>
      <c r="E99" s="249">
        <f>IF(H99&gt;0,I64,H99)</f>
        <v>6.0290390046736828</v>
      </c>
      <c r="F99" s="248"/>
      <c r="H99" s="249">
        <f>I64</f>
        <v>6.0290390046736828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70.843596878945817</v>
      </c>
      <c r="E100" s="251">
        <f>MAX(E97+H98+E99,0)</f>
        <v>83.345408092877435</v>
      </c>
      <c r="F100" s="251">
        <f>(E100+H100)/2</f>
        <v>83.345408092877435</v>
      </c>
      <c r="H100" s="251">
        <f>MAX(H97+H98+H99,0)</f>
        <v>83.345408092877435</v>
      </c>
      <c r="I100" s="251">
        <f>MAX(I97+H98+H99,0)</f>
        <v>107.86243279299067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271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9.7463426827399271</v>
      </c>
      <c r="E103" s="245">
        <f>PV(C94,D93,0,-F94)</f>
        <v>11.466285509105797</v>
      </c>
      <c r="F103" s="251">
        <f>(E103+H103)/2</f>
        <v>11.466285509105797</v>
      </c>
      <c r="H103" s="245">
        <f>PV(C94,D93,0,-I94)</f>
        <v>11.466285509105797</v>
      </c>
      <c r="I103" s="251">
        <f>PV(C93,D93,0,-I94)</f>
        <v>14.740733375528796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40.29496978084287</v>
      </c>
      <c r="E106" s="245">
        <f>(E100+E103)/2</f>
        <v>47.405846800991618</v>
      </c>
      <c r="F106" s="251">
        <f>(F100+F103)/2</f>
        <v>47.405846800991618</v>
      </c>
      <c r="H106" s="245">
        <f>(H100+H103)/2</f>
        <v>47.405846800991618</v>
      </c>
      <c r="I106" s="245">
        <f>(I100+I103)/2</f>
        <v>61.301583084259732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272</v>
      </c>
      <c r="C108" s="259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264</v>
      </c>
      <c r="C2" s="1"/>
    </row>
    <row r="3" spans="2:3" x14ac:dyDescent="0.35">
      <c r="B3" s="62"/>
      <c r="C3" s="62"/>
    </row>
    <row r="4" spans="2:3" x14ac:dyDescent="0.35">
      <c r="B4" s="60" t="s">
        <v>262</v>
      </c>
      <c r="C4" s="61" t="s">
        <v>263</v>
      </c>
    </row>
    <row r="5" spans="2:3" x14ac:dyDescent="0.35">
      <c r="B5" s="60"/>
      <c r="C5" s="61"/>
    </row>
    <row r="6" spans="2:3" x14ac:dyDescent="0.35">
      <c r="B6" s="63" t="s">
        <v>265</v>
      </c>
      <c r="C6" s="64" t="s">
        <v>266</v>
      </c>
    </row>
    <row r="7" spans="2:3" x14ac:dyDescent="0.35">
      <c r="B7" s="63"/>
      <c r="C7" s="64"/>
    </row>
    <row r="8" spans="2:3" x14ac:dyDescent="0.35">
      <c r="B8" s="290"/>
      <c r="C8" s="65" t="s">
        <v>267</v>
      </c>
    </row>
    <row r="10" spans="2:3" x14ac:dyDescent="0.35">
      <c r="B10" s="283" t="s">
        <v>268</v>
      </c>
    </row>
    <row r="11" spans="2:3" x14ac:dyDescent="0.35">
      <c r="B11" s="284">
        <f>Inputs!C6</f>
        <v>45624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2024-12-27T10:17:12Z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