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4688A67-5939-4BA5-8570-19EB0CFF0AFD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5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D27" i="4"/>
  <c r="C27" i="4"/>
  <c r="F96" i="4" l="1"/>
  <c r="E92" i="4"/>
  <c r="F97" i="4"/>
  <c r="F92" i="4"/>
  <c r="E95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<sst xmlns="http://schemas.openxmlformats.org/spreadsheetml/2006/main" count="405" uniqueCount="288">
  <si>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</si>
  <si>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</si>
  <si>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</si>
  <si>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</si>
  <si>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</si>
  <si>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</si>
  <si>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</si>
  <si>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</si>
  <si>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</si>
  <si>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</si>
  <si>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</si>
  <si>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</si>
  <si>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</si>
  <si>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</si>
  <si>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</si>
  <si>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</si>
  <si>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</si>
  <si>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</si>
  <si>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</si>
  <si>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</si>
  <si>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</si>
  <si>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</si>
  <si>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</si>
  <si>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</si>
  <si>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</si>
  <si>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</si>
  <si>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</si>
  <si>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</si>
  <si>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</si>
  <si>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</si>
  <si>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</si>
  <si>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</si>
  <si>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</si>
  <si>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</si>
  <si>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</si>
  <si>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</si>
  <si>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</si>
  <si>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</si>
  <si>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</si>
  <si>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</si>
  <si>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</si>
  <si>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</si>
  <si>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</si>
  <si>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</si>
  <si>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</si>
  <si>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</si>
  <si>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</si>
  <si>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</si>
  <si>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</si>
  <si>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</si>
  <si>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</si>
  <si>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</si>
  <si>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</si>
  <si>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</si>
  <si>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</si>
  <si>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</si>
  <si>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</si>
  <si>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</si>
  <si>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</si>
  <si>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</si>
  <si>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</si>
  <si>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</si>
  <si>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</si>
  <si>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</si>
  <si>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</si>
  <si>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</si>
  <si>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</si>
  <si>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</si>
  <si>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</si>
  <si>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</si>
  <si>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</si>
  <si>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</si>
  <si>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</si>
  <si>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</si>
  <si>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</si>
  <si>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</si>
  <si>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</si>
  <si>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</si>
  <si>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</si>
  <si>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</si>
  <si>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</si>
  <si>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</si>
  <si>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</si>
  <si>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</si>
  <si>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</si>
  <si>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</si>
  <si>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</si>
  <si>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</si>
  <si>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</si>
  <si>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</si>
  <si>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</si>
  <si>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</si>
  <si>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</si>
  <si>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</si>
  <si>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</si>
  <si>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</si>
  <si>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</si>
  <si>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</si>
  <si>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</si>
  <si>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</si>
  <si>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</si>
  <si>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</si>
  <si>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</si>
  <si>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</si>
  <si>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</si>
  <si>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</si>
  <si>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</si>
  <si>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</si>
  <si>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</si>
  <si>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</si>
  <si>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</si>
  <si>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</si>
  <si>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</si>
  <si>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</si>
  <si>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</si>
  <si>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</si>
  <si>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</si>
  <si>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</si>
  <si>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</si>
  <si>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</si>
  <si>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</si>
  <si>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</si>
  <si>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</si>
  <si>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</si>
  <si>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</si>
  <si>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</si>
  <si>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</si>
  <si>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</si>
  <si>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</si>
  <si>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</si>
  <si>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</si>
  <si>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</si>
  <si>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</si>
  <si>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</si>
  <si>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</si>
  <si>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</si>
  <si>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</si>
  <si>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</si>
  <si>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</si>
  <si>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</si>
  <si>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</si>
  <si>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</si>
  <si>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</si>
  <si>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</si>
  <si>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</si>
  <si>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</si>
  <si>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</si>
  <si>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</si>
  <si>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</si>
  <si>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</si>
  <si>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</si>
  <si>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</si>
  <si>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</si>
  <si>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</si>
  <si>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</si>
  <si>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</si>
  <si>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</si>
  <si>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</si>
  <si>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</si>
  <si>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</si>
  <si>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</si>
  <si>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</si>
  <si>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</si>
  <si>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</si>
  <si>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</si>
  <si>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</si>
  <si>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</si>
  <si>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</si>
  <si>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</si>
  <si>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</si>
  <si>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</si>
  <si>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</si>
  <si>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</si>
  <si>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</si>
  <si>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</si>
  <si>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</si>
  <si>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</si>
  <si>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</si>
  <si>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</si>
  <si>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</si>
  <si>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</si>
  <si>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</si>
  <si>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</si>
  <si>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</si>
  <si>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</si>
  <si>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</si>
  <si>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</si>
  <si>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</si>
  <si>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</si>
  <si>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</si>
  <si>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</si>
  <si>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</si>
  <si>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</si>
  <si>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</si>
  <si>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</si>
  <si>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</si>
  <si>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</si>
  <si>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</si>
  <si>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</si>
  <si>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</si>
  <si>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</si>
  <si>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</si>
  <si>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</si>
  <si>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</si>
  <si>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</si>
  <si>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</si>
  <si>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</si>
  <si>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</si>
  <si>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</si>
  <si>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</si>
  <si>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</si>
  <si>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</si>
  <si>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</si>
  <si>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</si>
  <si>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</si>
  <si>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</si>
  <si>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</si>
  <si>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</si>
  <si>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</si>
  <si>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</si>
  <si>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</si>
  <si>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</si>
  <si>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</si>
  <si>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</si>
  <si>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</si>
  <si>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</si>
  <si>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</si>
  <si>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</si>
  <si>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</si>
  <si>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</si>
  <si>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</si>
  <si>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</si>
  <si>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</si>
  <si>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</si>
  <si>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</si>
  <si>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</si>
  <si>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</si>
  <si>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</si>
  <si>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</si>
  <si>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</si>
  <si>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</si>
  <si>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</si>
  <si>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</si>
  <si>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</si>
  <si>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</si>
  <si>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</si>
  <si>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</si>
  <si>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</si>
  <si>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</si>
  <si>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</si>
  <si>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</si>
  <si>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</si>
  <si>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</si>
  <si>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</si>
  <si>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</si>
  <si>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</si>
  <si>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</si>
  <si>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</si>
  <si>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</si>
  <si>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</si>
  <si>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</si>
  <si>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</si>
  <si>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</si>
  <si>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</si>
  <si>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</si>
  <si>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</si>
  <si>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</si>
  <si>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</si>
  <si>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</si>
  <si>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</si>
  <si>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</si>
  <si>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</si>
  <si>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</si>
  <si>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</si>
  <si>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</si>
  <si>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</si>
  <si>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</si>
  <si>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</si>
  <si>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</si>
  <si>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</si>
  <si>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</si>
  <si>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</si>
  <si>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</si>
  <si>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</si>
  <si>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9992.HK</t>
  </si>
  <si>
    <t>POP MART</t>
  </si>
  <si>
    <t>C0007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</si>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</sst>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45630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1342943150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6301002</v>
      </c>
      <c r="D25" s="77">
        <v>4617324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2436931</v>
      </c>
      <c r="D26" s="78">
        <v>1962781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2004706+707300</f>
        <v>2712006</v>
      </c>
      <c r="D27" s="78">
        <f>1470753+686280</f>
        <v>2157033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32337</v>
      </c>
      <c r="D29" s="78">
        <v>38579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141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6427</v>
      </c>
      <c r="D31" s="78">
        <v>141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0.28210000000000002</v>
      </c>
      <c r="D44" s="81">
        <v>8.6999999999999994E-2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3.4895213574402091E-3</v>
      </c>
      <c r="D45" s="82">
        <f>IF(D44="","",D44*Exchange_Rate/Dashboard!$G$3)</f>
        <v>1.0761728397635526E-3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6301002</v>
      </c>
      <c r="D91" s="98"/>
      <c r="E91" s="99">
        <f>C91</f>
        <v>6301002</v>
      </c>
      <c r="F91" s="99">
        <f>C91</f>
        <v>6301002</v>
      </c>
    </row>
    <row r="92" spans="2:8" x14ac:dyDescent="0.35">
      <c r="B92" s="100" t="s">
        <v>97</v>
      </c>
      <c r="C92" s="97">
        <f>C26</f>
        <v>2436931</v>
      </c>
      <c r="D92" s="101">
        <f>C92/C91</f>
        <v>0.38675293231140062</v>
      </c>
      <c r="E92" s="102">
        <f>E91*D92</f>
        <v>2436931</v>
      </c>
      <c r="F92" s="102">
        <f>F91*D92</f>
        <v>2436931</v>
      </c>
    </row>
    <row r="93" spans="2:8" x14ac:dyDescent="0.35">
      <c r="B93" s="100" t="s">
        <v>216</v>
      </c>
      <c r="C93" s="97">
        <f>C27+C28</f>
        <v>2712006</v>
      </c>
      <c r="D93" s="101">
        <f>C93/C91</f>
        <v>0.43040868738019761</v>
      </c>
      <c r="E93" s="102">
        <f>E91*D93</f>
        <v>2712006</v>
      </c>
      <c r="F93" s="102">
        <f>F91*D93</f>
        <v>2712006</v>
      </c>
    </row>
    <row r="94" spans="2:8" x14ac:dyDescent="0.35">
      <c r="B94" s="100" t="s">
        <v>222</v>
      </c>
      <c r="C94" s="97">
        <f>C29</f>
        <v>32337</v>
      </c>
      <c r="D94" s="101">
        <f>C94/C91</f>
        <v>5.1320409039705113E-3</v>
      </c>
      <c r="E94" s="103"/>
      <c r="F94" s="102">
        <f>F91*D94</f>
        <v>32337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8569.3333333333339</v>
      </c>
      <c r="D97" s="101">
        <f>C97/C91</f>
        <v>1.3599953361915031E-3</v>
      </c>
      <c r="E97" s="103"/>
      <c r="F97" s="102">
        <f>F91*D97</f>
        <v>8569.3333333333339</v>
      </c>
    </row>
    <row r="98" spans="2:6" x14ac:dyDescent="0.35">
      <c r="B98" s="8" t="s">
        <v>180</v>
      </c>
      <c r="C98" s="104">
        <f>C44</f>
        <v>0.28210000000000002</v>
      </c>
      <c r="D98" s="105"/>
      <c r="E98" s="106">
        <f>F98</f>
        <v>0.28210000000000002</v>
      </c>
      <c r="F98" s="106">
        <f>C98</f>
        <v>0.28210000000000002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9992.HK : POP MART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9992.HK</v>
      </c>
      <c r="D3" s="317"/>
      <c r="E3" s="3"/>
      <c r="F3" s="9" t="s">
        <v>1</v>
      </c>
      <c r="G3" s="10">
        <v>86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POP MART</v>
      </c>
      <c r="D4" s="319"/>
      <c r="E4" s="3"/>
      <c r="F4" s="9" t="s">
        <v>2</v>
      </c>
      <c r="G4" s="322">
        <f>Inputs!C10</f>
        <v>1342943150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45630</v>
      </c>
      <c r="D5" s="321"/>
      <c r="E5" s="16"/>
      <c r="F5" s="12" t="s">
        <v>91</v>
      </c>
      <c r="G5" s="314">
        <f>G3*G4/1000000</f>
        <v>115493.1109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C0007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0.18147838497221025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5.1320409039705113E-3</v>
      </c>
      <c r="F24" s="39" t="s">
        <v>224</v>
      </c>
      <c r="G24" s="43">
        <f>G3/(Fin_Analysis!H86*G7)</f>
        <v>130.27392927690488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0.45459365852941497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3.4895213574402091E-3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5.5131669248236443</v>
      </c>
      <c r="D29" s="54">
        <f>G29*(1+G20)</f>
        <v>9.5890679498842939</v>
      </c>
      <c r="E29" s="3"/>
      <c r="F29" s="55">
        <f>IF(Fin_Analysis!C108="Profit",Fin_Analysis!F100,IF(Fin_Analysis!C108="Dividend",Fin_Analysis!F103,Fin_Analysis!F106))</f>
        <v>6.4860787350866405</v>
      </c>
      <c r="G29" s="313">
        <f>IF(Fin_Analysis!C108="Profit",Fin_Analysis!I100,IF(Fin_Analysis!C108="Dividend",Fin_Analysis!I103,Fin_Analysis!I106))</f>
        <v>8.3383199564211257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1143495.6666666667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6301002</v>
      </c>
      <c r="D6" s="142">
        <f>IF(Inputs!D25="","",Inputs!D25)</f>
        <v>4617324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0.36464367672703935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2436931</v>
      </c>
      <c r="D8" s="144">
        <f>IF(Inputs!D26="","",Inputs!D26)</f>
        <v>1962781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3864071</v>
      </c>
      <c r="D9" s="273">
        <f t="shared" si="2"/>
        <v>2654543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2712006</v>
      </c>
      <c r="D10" s="144">
        <f>IF(Inputs!D27="","",Inputs!D27)</f>
        <v>2157033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8569.3333333333339</v>
      </c>
      <c r="D12" s="144">
        <f>IF(Inputs!D31="","",MAX(Inputs!D31,0)/(1-Fin_Analysis!$I$84))</f>
        <v>188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0.18147838497221025</v>
      </c>
      <c r="D13" s="292">
        <f t="shared" si="3"/>
        <v>0.10770784116514241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1143495.6666666667</v>
      </c>
      <c r="D14" s="294">
        <f t="shared" ref="D14:M14" si="4">IF(D6="","",D9-D10-MAX(D11,0)-MAX(D12,0))</f>
        <v>497322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1.2993064185108778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-497181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141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32337</v>
      </c>
      <c r="D19" s="144">
        <f>IF(Inputs!D29="","",Inputs!D29)</f>
        <v>38579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1111158.6666666667</v>
      </c>
      <c r="D24" s="309">
        <f t="shared" si="9"/>
        <v>458743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0.13225975805117979</v>
      </c>
      <c r="D25" s="143">
        <f t="shared" si="10"/>
        <v>7.4514426537968748E-2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833369</v>
      </c>
      <c r="D26" s="276">
        <f>IF(D6="","",D24*(1-Fin_Analysis!$I$84))</f>
        <v>344057.25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1.4221811922289096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0.38675293231140062</v>
      </c>
      <c r="D42" s="150">
        <f t="shared" si="35"/>
        <v>0.42509059359923629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0.43040868738019761</v>
      </c>
      <c r="D43" s="146">
        <f t="shared" si="36"/>
        <v>0.46716084901124549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5.1320409039705113E-3</v>
      </c>
      <c r="D45" s="146">
        <f t="shared" si="38"/>
        <v>8.3552724478507465E-3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1.3599953361915031E-3</v>
      </c>
      <c r="D46" s="146">
        <f t="shared" si="39"/>
        <v>4.0716224375850603E-5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0.17634634406823974</v>
      </c>
      <c r="D48" s="281">
        <f t="shared" si="41"/>
        <v>9.9352568717291659E-2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2.9102054432070305E-2</v>
      </c>
      <c r="D57" s="146">
        <f t="shared" si="48"/>
        <v>8.4097196033508959E-2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6301002</v>
      </c>
      <c r="D74" s="98"/>
      <c r="E74" s="256">
        <f>Inputs!E91</f>
        <v>6301002</v>
      </c>
      <c r="F74" s="98"/>
      <c r="H74" s="256">
        <f>Inputs!F91</f>
        <v>6301002</v>
      </c>
      <c r="I74" s="98"/>
      <c r="K74" s="75"/>
    </row>
    <row r="75" spans="1:11" ht="15" customHeight="1" x14ac:dyDescent="0.35">
      <c r="B75" s="100" t="s">
        <v>97</v>
      </c>
      <c r="C75" s="97">
        <f>Data!C8</f>
        <v>2436931</v>
      </c>
      <c r="D75" s="101">
        <f>C75/$C$74</f>
        <v>0.38675293231140062</v>
      </c>
      <c r="E75" s="256">
        <f>Inputs!E92</f>
        <v>2436931</v>
      </c>
      <c r="F75" s="211">
        <f>E75/E74</f>
        <v>0.38675293231140062</v>
      </c>
      <c r="H75" s="256">
        <f>Inputs!F92</f>
        <v>2436931</v>
      </c>
      <c r="I75" s="211">
        <f>H75/$H$74</f>
        <v>0.38675293231140062</v>
      </c>
      <c r="K75" s="75"/>
    </row>
    <row r="76" spans="1:11" ht="15" customHeight="1" x14ac:dyDescent="0.35">
      <c r="B76" s="12" t="s">
        <v>87</v>
      </c>
      <c r="C76" s="145">
        <f>C74-C75</f>
        <v>3864071</v>
      </c>
      <c r="D76" s="212"/>
      <c r="E76" s="213">
        <f>E74-E75</f>
        <v>3864071</v>
      </c>
      <c r="F76" s="212"/>
      <c r="H76" s="213">
        <f>H74-H75</f>
        <v>3864071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2712006</v>
      </c>
      <c r="D77" s="101">
        <f>C77/$C$74</f>
        <v>0.43040868738019761</v>
      </c>
      <c r="E77" s="256">
        <f>Inputs!E93</f>
        <v>2712006</v>
      </c>
      <c r="F77" s="211">
        <f>E77/E74</f>
        <v>0.43040868738019761</v>
      </c>
      <c r="H77" s="256">
        <f>Inputs!F93</f>
        <v>2712006</v>
      </c>
      <c r="I77" s="211">
        <f>H77/$H$74</f>
        <v>0.43040868738019761</v>
      </c>
      <c r="K77" s="75"/>
    </row>
    <row r="78" spans="1:11" ht="15" customHeight="1" x14ac:dyDescent="0.35">
      <c r="B78" s="93" t="s">
        <v>150</v>
      </c>
      <c r="C78" s="97">
        <f>MAX(Data!C12,0)</f>
        <v>8569.3333333333339</v>
      </c>
      <c r="D78" s="101">
        <f>C78/$C$74</f>
        <v>1.3599953361915031E-3</v>
      </c>
      <c r="E78" s="214">
        <f>E74*F78</f>
        <v>8569.3333333333339</v>
      </c>
      <c r="F78" s="211">
        <f>I78</f>
        <v>1.3599953361915031E-3</v>
      </c>
      <c r="H78" s="256">
        <f>Inputs!F97</f>
        <v>8569.3333333333339</v>
      </c>
      <c r="I78" s="211">
        <f>H78/$H$74</f>
        <v>1.3599953361915031E-3</v>
      </c>
      <c r="K78" s="75"/>
    </row>
    <row r="79" spans="1:11" ht="15" customHeight="1" x14ac:dyDescent="0.35">
      <c r="B79" s="215" t="s">
        <v>203</v>
      </c>
      <c r="C79" s="216">
        <f>C76-C77-C78</f>
        <v>1143495.6666666667</v>
      </c>
      <c r="D79" s="217">
        <f>C79/C74</f>
        <v>0.18147838497221025</v>
      </c>
      <c r="E79" s="218">
        <f>E76-E77-E78</f>
        <v>1143495.6666666667</v>
      </c>
      <c r="F79" s="217">
        <f>E79/E74</f>
        <v>0.18147838497221025</v>
      </c>
      <c r="G79" s="219"/>
      <c r="H79" s="218">
        <f>H76-H77-H78</f>
        <v>1143495.6666666667</v>
      </c>
      <c r="I79" s="217">
        <f>H79/H74</f>
        <v>0.18147838497221025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32337</v>
      </c>
      <c r="D81" s="101">
        <f>C81/$C$74</f>
        <v>5.1320409039705113E-3</v>
      </c>
      <c r="E81" s="214">
        <f>E74*F81</f>
        <v>32337</v>
      </c>
      <c r="F81" s="211">
        <f>I81</f>
        <v>5.1320409039705113E-3</v>
      </c>
      <c r="H81" s="256">
        <f>Inputs!F94</f>
        <v>32337</v>
      </c>
      <c r="I81" s="211">
        <f>H81/$H$74</f>
        <v>5.1320409039705113E-3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1111158.6666666667</v>
      </c>
      <c r="D83" s="223">
        <f>C83/$C$74</f>
        <v>0.17634634406823974</v>
      </c>
      <c r="E83" s="224">
        <f>E79-E81-E82-E80</f>
        <v>1111158.6666666667</v>
      </c>
      <c r="F83" s="223">
        <f>E83/E74</f>
        <v>0.17634634406823974</v>
      </c>
      <c r="H83" s="224">
        <f>H79-H81-H82-H80</f>
        <v>1111158.6666666667</v>
      </c>
      <c r="I83" s="223">
        <f>H83/$H$74</f>
        <v>0.17634634406823974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833369</v>
      </c>
      <c r="D85" s="217">
        <f>C85/$C$74</f>
        <v>0.13225975805117979</v>
      </c>
      <c r="E85" s="229">
        <f>E83*(1-F84)</f>
        <v>833369</v>
      </c>
      <c r="F85" s="217">
        <f>E85/E74</f>
        <v>0.13225975805117979</v>
      </c>
      <c r="G85" s="219"/>
      <c r="H85" s="229">
        <f>H83*(1-I84)</f>
        <v>833369</v>
      </c>
      <c r="I85" s="217">
        <f>H85/$H$74</f>
        <v>0.13225975805117979</v>
      </c>
      <c r="K85" s="75"/>
    </row>
    <row r="86" spans="1:11" ht="15" customHeight="1" x14ac:dyDescent="0.35">
      <c r="B86" s="3" t="s">
        <v>143</v>
      </c>
      <c r="C86" s="230">
        <f>C85*Data!C4/Common_Shares</f>
        <v>0.62055419099460762</v>
      </c>
      <c r="D86" s="98"/>
      <c r="E86" s="231">
        <f>E85*Data!C4/Common_Shares</f>
        <v>0.62055419099460762</v>
      </c>
      <c r="F86" s="98"/>
      <c r="H86" s="231">
        <f>H85*Data!C4/Common_Shares</f>
        <v>0.62055419099460762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7.6761329419521938E-3</v>
      </c>
      <c r="D87" s="98"/>
      <c r="E87" s="233">
        <f>E86*Exchange_Rate/Dashboard!G3</f>
        <v>7.6761329419521938E-3</v>
      </c>
      <c r="F87" s="98"/>
      <c r="H87" s="233">
        <f>H86*Exchange_Rate/Dashboard!G3</f>
        <v>7.6761329419521938E-3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0.28210000000000002</v>
      </c>
      <c r="D88" s="235">
        <f>C88/C86</f>
        <v>0.45459365852941497</v>
      </c>
      <c r="E88" s="255">
        <f>Inputs!E98</f>
        <v>0.28210000000000002</v>
      </c>
      <c r="F88" s="235">
        <f>E88/E86</f>
        <v>0.45459365852941497</v>
      </c>
      <c r="H88" s="255">
        <f>Inputs!F98</f>
        <v>0.28210000000000002</v>
      </c>
      <c r="I88" s="235">
        <f>H88/H86</f>
        <v>0.45459365852941497</v>
      </c>
      <c r="K88" s="75"/>
    </row>
    <row r="89" spans="1:11" ht="15" customHeight="1" x14ac:dyDescent="0.35">
      <c r="B89" s="3" t="s">
        <v>193</v>
      </c>
      <c r="C89" s="232">
        <f>C88*Exchange_Rate/Dashboard!G3</f>
        <v>3.4895213574402091E-3</v>
      </c>
      <c r="D89" s="98"/>
      <c r="E89" s="232">
        <f>E88*Exchange_Rate/Dashboard!G3</f>
        <v>3.4895213574402091E-3</v>
      </c>
      <c r="F89" s="98"/>
      <c r="H89" s="232">
        <f>H88*Exchange_Rate/Dashboard!G3</f>
        <v>3.4895213574402091E-3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11.344192245658625</v>
      </c>
      <c r="H93" s="3" t="s">
        <v>182</v>
      </c>
      <c r="I93" s="237">
        <f>FV(H87,D93,0,-(H86/(C93-D94)))*Exchange_Rate</f>
        <v>11.344192245658625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5.0718269729804755</v>
      </c>
      <c r="H94" s="3" t="s">
        <v>183</v>
      </c>
      <c r="I94" s="237">
        <f>FV(H89,D93,0,-(H88/(C93-D94)))*Exchange_Rate</f>
        <v>5.0718269729804755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8710435.0076452699</v>
      </c>
      <c r="D97" s="244"/>
      <c r="E97" s="245">
        <f>PV(C94,D93,0,-F93)</f>
        <v>6.4860787350866405</v>
      </c>
      <c r="F97" s="244"/>
      <c r="H97" s="245">
        <f>PV(C94,D93,0,-I93)</f>
        <v>6.4860787350866405</v>
      </c>
      <c r="I97" s="245">
        <f>PV(C93,D93,0,-I93)</f>
        <v>8.3383199564211257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5.5131669248236443</v>
      </c>
      <c r="E100" s="251">
        <f>MAX(E97+H98+E99,0)</f>
        <v>6.4860787350866405</v>
      </c>
      <c r="F100" s="251">
        <f>(E100+H100)/2</f>
        <v>6.4860787350866405</v>
      </c>
      <c r="H100" s="251">
        <f>MAX(H97+H98+H99,0)</f>
        <v>6.4860787350866405</v>
      </c>
      <c r="I100" s="251">
        <f>MAX(I97+H98+H99,0)</f>
        <v>8.3383199564211257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2.4648585029546952</v>
      </c>
      <c r="E103" s="245">
        <f>PV(C94,D93,0,-F94)</f>
        <v>2.899833532887877</v>
      </c>
      <c r="F103" s="251">
        <f>(E103+H103)/2</f>
        <v>2.899833532887877</v>
      </c>
      <c r="H103" s="245">
        <f>PV(C94,D93,0,-I94)</f>
        <v>2.899833532887877</v>
      </c>
      <c r="I103" s="251">
        <f>PV(C93,D93,0,-I94)</f>
        <v>3.7279442333589201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3.9890127138891698</v>
      </c>
      <c r="E106" s="245">
        <f>(E100+E103)/2</f>
        <v>4.6929561339872592</v>
      </c>
      <c r="F106" s="251">
        <f>(F100+F103)/2</f>
        <v>4.6929561339872592</v>
      </c>
      <c r="H106" s="245">
        <f>(H100+H103)/2</f>
        <v>4.6929561339872592</v>
      </c>
      <c r="I106" s="245">
        <f>(I100+I103)/2</f>
        <v>6.0331320948900231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