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templates\"/>
    </mc:Choice>
  </mc:AlternateContent>
  <xr:revisionPtr revIDLastSave="0" documentId="13_ncr:1_{17DB280F-D251-46A9-A228-95CDB4F3455A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2" i="4" s="1"/>
  <c r="E91" i="4"/>
  <c r="E93" i="4" s="1"/>
  <c r="F93" i="4" l="1"/>
  <c r="F94" i="4"/>
  <c r="E95" i="4"/>
  <c r="F95" i="4"/>
  <c r="F96" i="4"/>
  <c r="F97" i="4"/>
  <c r="E92" i="4"/>
  <c r="D17" i="2" l="1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G2" i="1"/>
  <c r="D56" i="4" l="1"/>
  <c r="D93" i="3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<sst xmlns="http://schemas.openxmlformats.org/spreadsheetml/2006/main" count="405" uniqueCount="288">
  <si>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</si>
  <si>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</si>
  <si>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</si>
  <si>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</si>
  <si>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</si>
  <si>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</si>
  <si>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</si>
  <si>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</si>
  <si>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</si>
  <si>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</si>
  <si>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</si>
  <si>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</si>
  <si>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</si>
  <si>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</si>
  <si>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</si>
  <si>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</si>
  <si>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</si>
  <si>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</si>
  <si>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</si>
  <si>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</si>
  <si>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</si>
  <si>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</si>
  <si>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</si>
  <si>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</si>
  <si>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</si>
  <si>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</si>
  <si>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</si>
  <si>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</si>
  <si>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</si>
  <si>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</si>
  <si>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</si>
  <si>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</si>
  <si>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</si>
  <si>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</si>
  <si>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</si>
  <si>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</si>
  <si>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</si>
  <si>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</si>
  <si>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</si>
  <si>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</si>
  <si>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</si>
  <si>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</si>
  <si>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</si>
  <si>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</si>
  <si>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</si>
  <si>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</si>
  <si>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</si>
  <si>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</si>
  <si>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</si>
  <si>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</si>
  <si>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</si>
  <si>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</si>
  <si>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</si>
  <si>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</si>
  <si>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</si>
  <si>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</si>
  <si>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</si>
  <si>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</si>
  <si>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</si>
  <si>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</si>
  <si>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</si>
  <si>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</si>
  <si>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</si>
  <si>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</si>
  <si>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</si>
  <si>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</si>
  <si>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</si>
  <si>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</si>
  <si>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</si>
  <si>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</si>
  <si>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</si>
  <si>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</si>
  <si>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</si>
  <si>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</si>
  <si>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</si>
  <si>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</si>
  <si>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</si>
  <si>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</si>
  <si>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</si>
  <si>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</si>
  <si>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</si>
  <si>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</si>
  <si>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</si>
  <si>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</si>
  <si>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</si>
  <si>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</si>
  <si>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</si>
  <si>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</si>
  <si>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</si>
  <si>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</si>
  <si>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</si>
  <si>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</si>
  <si>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</si>
  <si>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</si>
  <si>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</si>
  <si>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</si>
  <si>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</si>
  <si>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</si>
  <si>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</si>
  <si>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</si>
  <si>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</si>
  <si>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</si>
  <si>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</si>
  <si>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</si>
  <si>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</si>
  <si>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</si>
  <si>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</si>
  <si>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</si>
  <si>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</si>
  <si>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</si>
  <si>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</si>
  <si>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</si>
  <si>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</si>
  <si>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</si>
  <si>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</si>
  <si>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</si>
  <si>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</si>
  <si>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</si>
  <si>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</si>
  <si>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</si>
  <si>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</si>
  <si>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</si>
  <si>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</si>
  <si>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</si>
  <si>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</si>
  <si>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</si>
  <si>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</si>
  <si>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</si>
  <si>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</si>
  <si>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</si>
  <si>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</si>
  <si>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</si>
  <si>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</si>
  <si>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</si>
  <si>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</si>
  <si>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</si>
  <si>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</si>
  <si>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</si>
  <si>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</si>
  <si>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</si>
  <si>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</si>
  <si>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</si>
  <si>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</si>
  <si>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</si>
  <si>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</si>
  <si>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</si>
  <si>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</si>
  <si>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</si>
  <si>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</si>
  <si>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</si>
  <si>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</si>
  <si>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</si>
  <si>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</si>
  <si>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</si>
  <si>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</si>
  <si>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</si>
  <si>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</si>
  <si>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</si>
  <si>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</si>
  <si>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</si>
  <si>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</si>
  <si>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</si>
  <si>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</si>
  <si>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</si>
  <si>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</si>
  <si>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</si>
  <si>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</si>
  <si>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</si>
  <si>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</si>
  <si>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</si>
  <si>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</si>
  <si>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</si>
  <si>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</si>
  <si>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</si>
  <si>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</si>
  <si>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</si>
  <si>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</si>
  <si>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</si>
  <si>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</si>
  <si>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</si>
  <si>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</si>
  <si>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</si>
  <si>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</si>
  <si>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</si>
  <si>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</si>
  <si>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</si>
  <si>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</si>
  <si>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</si>
  <si>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</si>
  <si>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</si>
  <si>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</si>
  <si>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</si>
  <si>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</si>
  <si>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</si>
  <si>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</si>
  <si>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</si>
  <si>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</si>
  <si>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</si>
  <si>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</si>
  <si>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</si>
  <si>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</si>
  <si>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</si>
  <si>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</si>
  <si>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</si>
  <si>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</si>
  <si>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</si>
  <si>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</si>
  <si>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</si>
  <si>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</si>
  <si>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</si>
  <si>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</si>
  <si>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</si>
  <si>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</si>
  <si>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</si>
  <si>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</si>
  <si>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</si>
  <si>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</si>
  <si>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</si>
  <si>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</si>
  <si>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</si>
  <si>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</si>
  <si>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</si>
  <si>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</si>
  <si>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</si>
  <si>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</si>
  <si>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</si>
  <si>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</si>
  <si>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</si>
  <si>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</si>
  <si>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</si>
  <si>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</si>
  <si>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</si>
  <si>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</si>
  <si>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</si>
  <si>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</si>
  <si>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</si>
  <si>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</si>
  <si>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</si>
  <si>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</si>
  <si>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</si>
  <si>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</si>
  <si>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</si>
  <si>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</si>
  <si>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</si>
  <si>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</si>
  <si>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</si>
  <si>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</si>
  <si>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</si>
  <si>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</si>
  <si>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</si>
  <si>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</si>
  <si>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</si>
  <si>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</si>
  <si>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</si>
  <si>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</si>
  <si>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</si>
  <si>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</si>
  <si>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</si>
  <si>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</si>
  <si>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</si>
  <si>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</si>
  <si>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</si>
  <si>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</si>
  <si>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</si>
  <si>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</si>
  <si>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</si>
  <si>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</si>
  <si>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</si>
  <si>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</si>
  <si>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</si>
  <si>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</si>
  <si>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</si>
  <si>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</si>
  <si>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</si>
  <si>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</si>
  <si>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</si>
  <si>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Profit</t>
  </si>
  <si>
    <t>Reinvest Nonop @</t>
    <phoneticPr fontId="3" type="noConversion"/>
  </si>
  <si>
    <t>0590.HK</t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</si>
  <si>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</si>
  <si>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</si>
  <si>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</si>
  <si>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</si>
  <si>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</si>
  <si>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</si>
  <si>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Template</t>
  </si>
  <si>
    <t>CN</t>
  </si>
  <si>
    <t>Unclear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</si>
</sst>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C22" sqref="C22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278</v>
      </c>
      <c r="D4" s="66"/>
    </row>
    <row r="5" spans="1:5" x14ac:dyDescent="0.35">
      <c r="B5" s="46" t="s">
        <v>169</v>
      </c>
      <c r="C5" s="67" t="s">
        <v>285</v>
      </c>
    </row>
    <row r="6" spans="1:5" x14ac:dyDescent="0.35">
      <c r="B6" s="46" t="s">
        <v>269</v>
      </c>
      <c r="C6" s="68">
        <v>45624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64</v>
      </c>
    </row>
    <row r="9" spans="1:5" x14ac:dyDescent="0.35">
      <c r="B9" s="39" t="s">
        <v>190</v>
      </c>
      <c r="C9" s="119" t="s">
        <v>275</v>
      </c>
    </row>
    <row r="10" spans="1:5" x14ac:dyDescent="0.35">
      <c r="B10" s="39" t="s">
        <v>191</v>
      </c>
      <c r="C10" s="70">
        <v>587107850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286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215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215</v>
      </c>
      <c r="D19" s="75"/>
    </row>
    <row r="20" spans="2:13" x14ac:dyDescent="0.35">
      <c r="B20" s="57" t="s">
        <v>200</v>
      </c>
      <c r="C20" s="121" t="s">
        <v>215</v>
      </c>
      <c r="D20" s="75"/>
    </row>
    <row r="21" spans="2:13" x14ac:dyDescent="0.35">
      <c r="B21" s="2" t="s">
        <v>203</v>
      </c>
      <c r="C21" s="121" t="s">
        <v>215</v>
      </c>
      <c r="D21" s="75"/>
    </row>
    <row r="22" spans="2:13" ht="69.75" x14ac:dyDescent="0.35">
      <c r="B22" s="59" t="s">
        <v>202</v>
      </c>
      <c r="C22" s="122" t="s">
        <v>287</v>
      </c>
      <c r="D22" s="75"/>
    </row>
    <row r="24" spans="2:13" x14ac:dyDescent="0.35">
      <c r="B24" s="76" t="s">
        <v>281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279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 t="str">
        <f>IF(C44="","",C44*Exchange_Rate/Dashboard!$G$3)</f>
        <v/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280</v>
      </c>
      <c r="C82" s="79">
        <v>473357</v>
      </c>
    </row>
    <row r="83" spans="2:8" hidden="1" x14ac:dyDescent="0.35">
      <c r="B83" s="300" t="s">
        <v>247</v>
      </c>
      <c r="C83" s="79">
        <v>12890860</v>
      </c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276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0</v>
      </c>
      <c r="D91" s="98"/>
      <c r="E91" s="99">
        <f>C91</f>
        <v>0</v>
      </c>
      <c r="F91" s="99">
        <f>C91</f>
        <v>0</v>
      </c>
    </row>
    <row r="92" spans="2:8" x14ac:dyDescent="0.35">
      <c r="B92" s="100" t="s">
        <v>98</v>
      </c>
      <c r="C92" s="97">
        <f>C26</f>
        <v>0</v>
      </c>
      <c r="D92" s="101" t="e">
        <f>C92/C91</f>
        <v>#DIV/0!</v>
      </c>
      <c r="E92" s="102" t="e">
        <f>E91*D92</f>
        <v>#DIV/0!</v>
      </c>
      <c r="F92" s="102" t="e">
        <f>F91*D92</f>
        <v>#DIV/0!</v>
      </c>
    </row>
    <row r="93" spans="2:8" x14ac:dyDescent="0.35">
      <c r="B93" s="100" t="s">
        <v>217</v>
      </c>
      <c r="C93" s="97">
        <f>C27+C28</f>
        <v>0</v>
      </c>
      <c r="D93" s="101" t="e">
        <f>C93/C91</f>
        <v>#DIV/0!</v>
      </c>
      <c r="E93" s="102" t="e">
        <f>E91*D93</f>
        <v>#DIV/0!</v>
      </c>
      <c r="F93" s="102" t="e">
        <f>F91*D93</f>
        <v>#DIV/0!</v>
      </c>
    </row>
    <row r="94" spans="2:8" x14ac:dyDescent="0.35">
      <c r="B94" s="100" t="s">
        <v>223</v>
      </c>
      <c r="C94" s="97">
        <f>C29</f>
        <v>0</v>
      </c>
      <c r="D94" s="101" t="e">
        <f>C94/C91</f>
        <v>#DIV/0!</v>
      </c>
      <c r="E94" s="103"/>
      <c r="F94" s="102" t="e">
        <f>F91*D94</f>
        <v>#DIV/0!</v>
      </c>
    </row>
    <row r="95" spans="2:8" x14ac:dyDescent="0.35">
      <c r="B95" s="18" t="s">
        <v>216</v>
      </c>
      <c r="C95" s="97">
        <f>ABS(MAX(C34,0)-C33)</f>
        <v>0</v>
      </c>
      <c r="D95" s="101" t="e">
        <f>C95/C91</f>
        <v>#DIV/0!</v>
      </c>
      <c r="E95" s="102" t="e">
        <f>E91*D95</f>
        <v>#DIV/0!</v>
      </c>
      <c r="F95" s="102" t="e">
        <f>F91*D95</f>
        <v>#DIV/0!</v>
      </c>
    </row>
    <row r="96" spans="2:8" x14ac:dyDescent="0.35">
      <c r="B96" s="18" t="s">
        <v>102</v>
      </c>
      <c r="C96" s="97">
        <f>MAX(C32,0)</f>
        <v>0</v>
      </c>
      <c r="D96" s="101" t="e">
        <f>C96/C91</f>
        <v>#DIV/0!</v>
      </c>
      <c r="E96" s="103"/>
      <c r="F96" s="102" t="e">
        <f>F91*D96</f>
        <v>#DIV/0!</v>
      </c>
    </row>
    <row r="97" spans="2:6" x14ac:dyDescent="0.35">
      <c r="B97" s="93" t="s">
        <v>151</v>
      </c>
      <c r="C97" s="97">
        <f>MAX(C31,0)/(1-C16)</f>
        <v>0</v>
      </c>
      <c r="D97" s="101" t="e">
        <f>C97/C91</f>
        <v>#DIV/0!</v>
      </c>
      <c r="E97" s="103"/>
      <c r="F97" s="102" t="e">
        <f>F91*D97</f>
        <v>#DIV/0!</v>
      </c>
    </row>
    <row r="98" spans="2:6" x14ac:dyDescent="0.35">
      <c r="B98" s="8" t="s">
        <v>181</v>
      </c>
      <c r="C98" s="104">
        <f>C44</f>
        <v>0</v>
      </c>
      <c r="D98" s="105"/>
      <c r="E98" s="106">
        <f>F98</f>
        <v>0</v>
      </c>
      <c r="F98" s="106">
        <f>C98</f>
        <v>0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0590.HK : Template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168</v>
      </c>
      <c r="C3" s="312" t="str">
        <f>Inputs!C4</f>
        <v>0590.HK</v>
      </c>
      <c r="D3" s="313"/>
      <c r="E3" s="3"/>
      <c r="F3" s="9" t="s">
        <v>1</v>
      </c>
      <c r="G3" s="10">
        <v>14.08</v>
      </c>
      <c r="H3" s="11" t="s">
        <v>257</v>
      </c>
    </row>
    <row r="4" spans="1:10" ht="15.75" customHeight="1" x14ac:dyDescent="0.35">
      <c r="B4" s="12" t="s">
        <v>169</v>
      </c>
      <c r="C4" s="314" t="str">
        <f>Inputs!C5</f>
        <v>Template</v>
      </c>
      <c r="D4" s="315"/>
      <c r="E4" s="3"/>
      <c r="F4" s="9" t="s">
        <v>3</v>
      </c>
      <c r="G4" s="318">
        <f>Inputs!C10</f>
        <v>587107850</v>
      </c>
      <c r="H4" s="318"/>
      <c r="I4" s="14"/>
    </row>
    <row r="5" spans="1:10" ht="15.75" customHeight="1" x14ac:dyDescent="0.35">
      <c r="B5" s="9" t="s">
        <v>146</v>
      </c>
      <c r="C5" s="316">
        <f>Inputs!C6</f>
        <v>45624</v>
      </c>
      <c r="D5" s="317"/>
      <c r="E5" s="16"/>
      <c r="F5" s="12" t="s">
        <v>92</v>
      </c>
      <c r="G5" s="321">
        <f>G3*G4/1000000</f>
        <v>8266.4785279999996</v>
      </c>
      <c r="H5" s="321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22" t="str">
        <f>Inputs!C11</f>
        <v>HKD</v>
      </c>
      <c r="H6" s="322"/>
      <c r="I6" s="17"/>
    </row>
    <row r="7" spans="1:10" ht="15.75" customHeight="1" x14ac:dyDescent="0.35">
      <c r="B7" s="8" t="s">
        <v>166</v>
      </c>
      <c r="C7" s="123" t="str">
        <f>Inputs!C8</f>
        <v>N</v>
      </c>
      <c r="D7" s="123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CN</v>
      </c>
      <c r="F16" s="25" t="s">
        <v>156</v>
      </c>
    </row>
    <row r="17" spans="1:8" ht="15.75" customHeight="1" thickTop="1" x14ac:dyDescent="0.35">
      <c r="B17" s="3" t="s">
        <v>221</v>
      </c>
      <c r="C17" s="114">
        <v>8.0500000000000002E-2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 t="e">
        <f>C21*C22*C23</f>
        <v>#VALUE!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 t="e">
        <f>Data!C13</f>
        <v>#VALUE!</v>
      </c>
      <c r="F21" s="3"/>
      <c r="G21" s="34"/>
    </row>
    <row r="22" spans="1:8" ht="15.75" customHeight="1" x14ac:dyDescent="0.35">
      <c r="B22" s="35" t="s">
        <v>245</v>
      </c>
      <c r="C22" s="36" t="e">
        <f>Data!C50</f>
        <v>#VALUE!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 t="e">
        <f>1/Data!C55</f>
        <v>#DIV/0!</v>
      </c>
      <c r="F23" s="39" t="s">
        <v>164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240</v>
      </c>
      <c r="C24" s="42" t="e">
        <f>Fin_Analysis!I81</f>
        <v>#DIV/0!</v>
      </c>
      <c r="F24" s="39" t="s">
        <v>225</v>
      </c>
      <c r="G24" s="43" t="e">
        <f>G3/(Fin_Analysis!H86*G7)</f>
        <v>#DIV/0!</v>
      </c>
    </row>
    <row r="25" spans="1:8" ht="15.75" customHeight="1" x14ac:dyDescent="0.35">
      <c r="B25" s="28" t="s">
        <v>241</v>
      </c>
      <c r="C25" s="44" t="e">
        <f>Fin_Analysis!I80</f>
        <v>#DIV/0!</v>
      </c>
      <c r="F25" s="39" t="s">
        <v>152</v>
      </c>
      <c r="G25" s="44" t="e">
        <f>Fin_Analysis!I88</f>
        <v>#DIV/0!</v>
      </c>
    </row>
    <row r="26" spans="1:8" ht="15.75" customHeight="1" x14ac:dyDescent="0.35">
      <c r="B26" s="45" t="s">
        <v>242</v>
      </c>
      <c r="C26" s="44" t="e">
        <f>Fin_Analysis!I80+Fin_Analysis!I82</f>
        <v>#DIV/0!</v>
      </c>
      <c r="F26" s="46" t="s">
        <v>167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9" t="s">
        <v>224</v>
      </c>
      <c r="H28" s="319"/>
    </row>
    <row r="29" spans="1:8" ht="15.75" customHeight="1" x14ac:dyDescent="0.35">
      <c r="B29" s="3" t="s">
        <v>150</v>
      </c>
      <c r="C29" s="53" t="e">
        <f>IF(Fin_Analysis!C108="Profit",Fin_Analysis!D100,IF(Fin_Analysis!C108="Dividend",Fin_Analysis!D103,Fin_Analysis!D106))</f>
        <v>#DIV/0!</v>
      </c>
      <c r="D29" s="54" t="e">
        <f>G29*(1+G20)</f>
        <v>#DIV/0!</v>
      </c>
      <c r="E29" s="3"/>
      <c r="F29" s="55" t="e">
        <f>IF(Fin_Analysis!C108="Profit",Fin_Analysis!F100,IF(Fin_Analysis!C108="Dividend",Fin_Analysis!F103,Fin_Analysis!F106))</f>
        <v>#DIV/0!</v>
      </c>
      <c r="G29" s="320" t="e">
        <f>IF(Fin_Analysis!C108="Profit",Fin_Analysis!I100,IF(Fin_Analysis!C108="Dividend",Fin_Analysis!I103,Fin_Analysis!I106))</f>
        <v>#DIV/0!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unclear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unclear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unclear</v>
      </c>
    </row>
    <row r="40" spans="1:4" ht="15.75" customHeight="1" x14ac:dyDescent="0.35">
      <c r="B40" s="2" t="s">
        <v>203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 t="e">
        <f>C14</f>
        <v>#VALUE!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 t="str">
        <f>IF(Inputs!C25=""," ",Inputs!C25)</f>
        <v xml:space="preserve"> </v>
      </c>
      <c r="D6" s="142" t="str">
        <f>IF(Inputs!D25="","",Inputs!D25)</f>
        <v/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 t="str">
        <f t="shared" ref="C7:M7" si="1">IF(D6="","",C6/D6-1)</f>
        <v/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 t="str">
        <f>IF(Inputs!C26="","",Inputs!C26)</f>
        <v/>
      </c>
      <c r="D8" s="144" t="str">
        <f>IF(Inputs!D26="","",Inputs!D26)</f>
        <v/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 t="e">
        <f t="shared" ref="C9:M9" si="2">IF(C6="","",(C6-C8))</f>
        <v>#VALUE!</v>
      </c>
      <c r="D9" s="273" t="str">
        <f t="shared" si="2"/>
        <v/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 t="str">
        <f>IF(Inputs!C27="","",Inputs!C27)</f>
        <v/>
      </c>
      <c r="D10" s="144" t="str">
        <f>IF(Inputs!D27="","",Inputs!D27)</f>
        <v/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 t="e">
        <f t="shared" ref="C13:M13" si="3">IF(C14="","",C14/C6)</f>
        <v>#VALUE!</v>
      </c>
      <c r="D13" s="292" t="str">
        <f t="shared" si="3"/>
        <v/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 t="e">
        <f>IF(C6="","",C9-C10-MAX(C11,0)-MAX(C12,0))</f>
        <v>#VALUE!</v>
      </c>
      <c r="D14" s="294" t="str">
        <f t="shared" ref="D14:M14" si="4">IF(D6="","",D9-D10-MAX(D11,0)-MAX(D12,0))</f>
        <v/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 t="str">
        <f>IF(D14="","",IF(ABS(C14+D14)=ABS(C14)+ABS(D14),IF(C14&lt;0,-1,1)*(C14-D14)/D14,"Turn"))</f>
        <v/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282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279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 t="str">
        <f>IF(Inputs!C29="","",Inputs!C29)</f>
        <v/>
      </c>
      <c r="D19" s="144" t="str">
        <f>IF(Inputs!D29="","",Inputs!D29)</f>
        <v/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 t="e">
        <f t="shared" ref="C22:M22" si="8">IF(C6="","",MAX(C23,0)/C6)</f>
        <v>#VALUE!</v>
      </c>
      <c r="D22" s="227" t="str">
        <f t="shared" si="8"/>
        <v/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283</v>
      </c>
      <c r="C24" s="309" t="e">
        <f t="shared" ref="C24:M24" si="9">IF(C6="","",C14-MAX(C18,0)-MAX(C19,0)-ABS(MAX(C23,0)-MAX(C21,0)))</f>
        <v>#VALUE!</v>
      </c>
      <c r="D24" s="309" t="str">
        <f t="shared" si="9"/>
        <v/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 t="e">
        <f t="shared" ref="C25:M25" si="10">IF(C6="","",C26/C6)</f>
        <v>#VALUE!</v>
      </c>
      <c r="D25" s="143" t="str">
        <f t="shared" si="10"/>
        <v/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284</v>
      </c>
      <c r="C26" s="275" t="e">
        <f>IF(C6="","",C24*(1-Fin_Analysis!$I$84))</f>
        <v>#VALUE!</v>
      </c>
      <c r="D26" s="276" t="str">
        <f>IF(D6="","",D24*(1-Fin_Analysis!$I$84))</f>
        <v/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 t="str">
        <f t="shared" ref="C27:M27" si="11">IF(D26="","",IF(ABS(C26+D26)=ABS(C26)+ABS(D26),IF(C26&lt;0,-1,1)*(C26-D26)/D26,"Turn"))</f>
        <v/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 t="e">
        <f>IF(C6="","",C14/MAX(C39,0))</f>
        <v>#VALUE!</v>
      </c>
      <c r="D40" s="148" t="str">
        <f>IF(D6="","",D14/MAX(D39,0))</f>
        <v/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 t="e">
        <f t="shared" ref="C42:M42" si="35">IF(C6="","",C8/C6)</f>
        <v>#VALUE!</v>
      </c>
      <c r="D42" s="150" t="str">
        <f t="shared" si="35"/>
        <v/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 t="e">
        <f t="shared" ref="C43:M43" si="36">IF(C6="","",(C10+MAX(C11,0))/C6)</f>
        <v>#VALUE!</v>
      </c>
      <c r="D43" s="146" t="str">
        <f t="shared" si="36"/>
        <v/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 t="e">
        <f t="shared" ref="C44:M44" si="37">IF(C6="","",MAX(C18,0)/C6)</f>
        <v>#VALUE!</v>
      </c>
      <c r="D44" s="146" t="str">
        <f t="shared" si="37"/>
        <v/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 t="e">
        <f t="shared" ref="C45:M45" si="38">IF(C6="","",MAX(C19,0)/C6)</f>
        <v>#VALUE!</v>
      </c>
      <c r="D45" s="146" t="str">
        <f t="shared" si="38"/>
        <v/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 t="e">
        <f t="shared" ref="C46:M46" si="39">IF(C6="","",MAX(C12,0)/C6)</f>
        <v>#VALUE!</v>
      </c>
      <c r="D46" s="146" t="str">
        <f t="shared" si="39"/>
        <v/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 t="e">
        <f t="shared" ref="C47:M47" si="40">IF(C6="","",ABS(MAX(C23,0)-MAX(C21,0))/C6)</f>
        <v>#VALUE!</v>
      </c>
      <c r="D47" s="146" t="str">
        <f t="shared" si="40"/>
        <v/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 t="e">
        <f t="shared" ref="C48:M48" si="41">IF(C6="","",C24/C6)</f>
        <v>#VALUE!</v>
      </c>
      <c r="D48" s="281" t="str">
        <f t="shared" si="41"/>
        <v/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 t="e">
        <f t="shared" ref="C50:M50" si="42">IF(C6="","",C6/C29)</f>
        <v>#VALUE!</v>
      </c>
      <c r="D50" s="153" t="str">
        <f t="shared" si="42"/>
        <v/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 t="e">
        <f t="shared" ref="C51:M51" si="43">IF(C30="","",C30/C6)</f>
        <v>#VALUE!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 t="e">
        <f t="shared" ref="C52:M52" si="44">IF(C31="","",C31/C6)</f>
        <v>#VALUE!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str">
        <f t="shared" ref="C53:M53" si="45">IF(D6="","",C18/(C6-D6))</f>
        <v/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e">
        <f t="shared" ref="C56:M56" si="47">IF(OR(C24="",C35=""),"",IF(C35&lt;=0,"-",C24/C35))</f>
        <v>#VALUE!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 t="e">
        <f t="shared" ref="C57:M57" si="48">IF(C24="","",IF(MAX(C19,0)&lt;=0,"-",C19/C24))</f>
        <v>#VALUE!</v>
      </c>
      <c r="D57" s="146" t="str">
        <f t="shared" si="48"/>
        <v/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 t="e">
        <f t="shared" ref="C60:M60" si="50">IF(C14="","",C14/(C36-C37))</f>
        <v>#VALUE!</v>
      </c>
      <c r="D60" s="156" t="str">
        <f t="shared" si="50"/>
        <v/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 t="e">
        <f t="shared" ref="C61:M61" si="51">IF(C24="","",C24/(C36-C37))</f>
        <v>#VALUE!</v>
      </c>
      <c r="D61" s="156" t="str">
        <f t="shared" si="51"/>
        <v/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0</v>
      </c>
      <c r="K3" s="75"/>
    </row>
    <row r="4" spans="1:11" ht="15" customHeight="1" x14ac:dyDescent="0.35">
      <c r="B4" s="9" t="s">
        <v>22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0</v>
      </c>
      <c r="J48" s="187"/>
    </row>
    <row r="49" spans="2:11" ht="15" customHeight="1" thickTop="1" x14ac:dyDescent="0.35">
      <c r="B49" s="9" t="s">
        <v>14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79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18">
        <f>Inputs!C84</f>
        <v>0</v>
      </c>
      <c r="E57" s="317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254</v>
      </c>
      <c r="I61" s="203">
        <f>C99*Data!$C$4/Common_Shares</f>
        <v>0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277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255</v>
      </c>
      <c r="I63" s="207">
        <f>IF(I61&gt;0,FV(I62,D93,0,-I61),I61)</f>
        <v>0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256</v>
      </c>
      <c r="I64" s="207">
        <f>IF(I61&gt;0,PV(C94,D93,0,-I63),I61)</f>
        <v>0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 t="str">
        <f>Data!C6</f>
        <v xml:space="preserve"> </v>
      </c>
      <c r="D74" s="98"/>
      <c r="E74" s="256">
        <f>Inputs!E91</f>
        <v>0</v>
      </c>
      <c r="F74" s="98"/>
      <c r="H74" s="256">
        <f>Inputs!F91</f>
        <v>0</v>
      </c>
      <c r="I74" s="98"/>
      <c r="K74" s="75"/>
    </row>
    <row r="75" spans="1:11" ht="15" customHeight="1" x14ac:dyDescent="0.35">
      <c r="B75" s="100" t="s">
        <v>98</v>
      </c>
      <c r="C75" s="97" t="str">
        <f>Data!C8</f>
        <v/>
      </c>
      <c r="D75" s="101" t="e">
        <f>C75/$C$74</f>
        <v>#VALUE!</v>
      </c>
      <c r="E75" s="256" t="e">
        <f>Inputs!E92</f>
        <v>#DIV/0!</v>
      </c>
      <c r="F75" s="211" t="e">
        <f>E75/E74</f>
        <v>#DIV/0!</v>
      </c>
      <c r="H75" s="256" t="e">
        <f>Inputs!F92</f>
        <v>#DIV/0!</v>
      </c>
      <c r="I75" s="211" t="e">
        <f>H75/$H$74</f>
        <v>#DIV/0!</v>
      </c>
      <c r="K75" s="75"/>
    </row>
    <row r="76" spans="1:11" ht="15" customHeight="1" x14ac:dyDescent="0.35">
      <c r="B76" s="12" t="s">
        <v>88</v>
      </c>
      <c r="C76" s="145" t="e">
        <f>C74-C75</f>
        <v>#VALUE!</v>
      </c>
      <c r="D76" s="212"/>
      <c r="E76" s="213" t="e">
        <f>E74-E75</f>
        <v>#DIV/0!</v>
      </c>
      <c r="F76" s="212"/>
      <c r="H76" s="213" t="e">
        <f>H74-H75</f>
        <v>#DIV/0!</v>
      </c>
      <c r="I76" s="212"/>
      <c r="K76" s="75"/>
    </row>
    <row r="77" spans="1:11" ht="15" customHeight="1" x14ac:dyDescent="0.35">
      <c r="B77" s="100" t="s">
        <v>217</v>
      </c>
      <c r="C77" s="97" t="e">
        <f>Data!C10+MAX(Data!C11,0)</f>
        <v>#VALUE!</v>
      </c>
      <c r="D77" s="101" t="e">
        <f>C77/$C$74</f>
        <v>#VALUE!</v>
      </c>
      <c r="E77" s="256" t="e">
        <f>Inputs!E93</f>
        <v>#DIV/0!</v>
      </c>
      <c r="F77" s="211" t="e">
        <f>E77/E74</f>
        <v>#DIV/0!</v>
      </c>
      <c r="H77" s="256" t="e">
        <f>Inputs!F93</f>
        <v>#DIV/0!</v>
      </c>
      <c r="I77" s="211" t="e">
        <f>H77/$H$74</f>
        <v>#DIV/0!</v>
      </c>
      <c r="K77" s="75"/>
    </row>
    <row r="78" spans="1:11" ht="15" customHeight="1" x14ac:dyDescent="0.35">
      <c r="B78" s="93" t="s">
        <v>151</v>
      </c>
      <c r="C78" s="97">
        <f>MAX(Data!C12,0)</f>
        <v>0</v>
      </c>
      <c r="D78" s="101" t="e">
        <f>C78/$C$74</f>
        <v>#VALUE!</v>
      </c>
      <c r="E78" s="214" t="e">
        <f>E74*F78</f>
        <v>#DIV/0!</v>
      </c>
      <c r="F78" s="211" t="e">
        <f>I78</f>
        <v>#DIV/0!</v>
      </c>
      <c r="H78" s="256" t="e">
        <f>Inputs!F97</f>
        <v>#DIV/0!</v>
      </c>
      <c r="I78" s="211" t="e">
        <f>H78/$H$74</f>
        <v>#DIV/0!</v>
      </c>
      <c r="K78" s="75"/>
    </row>
    <row r="79" spans="1:11" ht="15" customHeight="1" x14ac:dyDescent="0.35">
      <c r="B79" s="215" t="s">
        <v>204</v>
      </c>
      <c r="C79" s="216" t="e">
        <f>C76-C77-C78</f>
        <v>#VALUE!</v>
      </c>
      <c r="D79" s="217" t="e">
        <f>C79/C74</f>
        <v>#VALUE!</v>
      </c>
      <c r="E79" s="218" t="e">
        <f>E76-E77-E78</f>
        <v>#DIV/0!</v>
      </c>
      <c r="F79" s="217" t="e">
        <f>E79/E74</f>
        <v>#DIV/0!</v>
      </c>
      <c r="G79" s="219"/>
      <c r="H79" s="218" t="e">
        <f>H76-H77-H78</f>
        <v>#DIV/0!</v>
      </c>
      <c r="I79" s="217" t="e">
        <f>H79/H74</f>
        <v>#DIV/0!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 t="e">
        <f>C80/$C$74</f>
        <v>#VALUE!</v>
      </c>
      <c r="E80" s="214" t="e">
        <f>E74*F80</f>
        <v>#DIV/0!</v>
      </c>
      <c r="F80" s="211" t="e">
        <f>I80</f>
        <v>#DIV/0!</v>
      </c>
      <c r="H80" s="256" t="e">
        <f>Inputs!F96</f>
        <v>#DIV/0!</v>
      </c>
      <c r="I80" s="211" t="e">
        <f>H80/$H$74</f>
        <v>#DIV/0!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0</v>
      </c>
      <c r="D81" s="101" t="e">
        <f>C81/$C$74</f>
        <v>#VALUE!</v>
      </c>
      <c r="E81" s="214" t="e">
        <f>E74*F81</f>
        <v>#DIV/0!</v>
      </c>
      <c r="F81" s="211" t="e">
        <f>I81</f>
        <v>#DIV/0!</v>
      </c>
      <c r="H81" s="256" t="e">
        <f>Inputs!F94</f>
        <v>#DIV/0!</v>
      </c>
      <c r="I81" s="211" t="e">
        <f>H81/$H$74</f>
        <v>#DIV/0!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 t="e">
        <f>C82/$C$74</f>
        <v>#VALUE!</v>
      </c>
      <c r="E82" s="256" t="e">
        <f>Inputs!E95</f>
        <v>#DIV/0!</v>
      </c>
      <c r="F82" s="211" t="e">
        <f>E82/E74</f>
        <v>#DIV/0!</v>
      </c>
      <c r="H82" s="256" t="e">
        <f>Inputs!F95</f>
        <v>#DIV/0!</v>
      </c>
      <c r="I82" s="211" t="e">
        <f>H82/$H$74</f>
        <v>#DIV/0!</v>
      </c>
      <c r="K82" s="75"/>
    </row>
    <row r="83" spans="1:11" ht="15" customHeight="1" thickBot="1" x14ac:dyDescent="0.4">
      <c r="B83" s="221" t="s">
        <v>114</v>
      </c>
      <c r="C83" s="222" t="e">
        <f>C79-C81-C82-C80</f>
        <v>#VALUE!</v>
      </c>
      <c r="D83" s="223" t="e">
        <f>C83/$C$74</f>
        <v>#VALUE!</v>
      </c>
      <c r="E83" s="224" t="e">
        <f>E79-E81-E82-E80</f>
        <v>#DIV/0!</v>
      </c>
      <c r="F83" s="223" t="e">
        <f>E83/E74</f>
        <v>#DIV/0!</v>
      </c>
      <c r="H83" s="224" t="e">
        <f>H79-H81-H82-H80</f>
        <v>#DIV/0!</v>
      </c>
      <c r="I83" s="223" t="e">
        <f>H83/$H$74</f>
        <v>#DIV/0!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 t="e">
        <f>C83*(1-I84)</f>
        <v>#VALUE!</v>
      </c>
      <c r="D85" s="217" t="e">
        <f>C85/$C$74</f>
        <v>#VALUE!</v>
      </c>
      <c r="E85" s="229" t="e">
        <f>E83*(1-F84)</f>
        <v>#DIV/0!</v>
      </c>
      <c r="F85" s="217" t="e">
        <f>E85/E74</f>
        <v>#DIV/0!</v>
      </c>
      <c r="G85" s="219"/>
      <c r="H85" s="229" t="e">
        <f>H83*(1-I84)</f>
        <v>#DIV/0!</v>
      </c>
      <c r="I85" s="217" t="e">
        <f>H85/$H$74</f>
        <v>#DIV/0!</v>
      </c>
      <c r="K85" s="75"/>
    </row>
    <row r="86" spans="1:11" ht="15" customHeight="1" x14ac:dyDescent="0.35">
      <c r="B86" s="3" t="s">
        <v>144</v>
      </c>
      <c r="C86" s="230" t="e">
        <f>C85*Data!C4/Common_Shares</f>
        <v>#VALUE!</v>
      </c>
      <c r="D86" s="98"/>
      <c r="E86" s="231" t="e">
        <f>E85*Data!C4/Common_Shares</f>
        <v>#DIV/0!</v>
      </c>
      <c r="F86" s="98"/>
      <c r="H86" s="231" t="e">
        <f>H85*Data!C4/Common_Shares</f>
        <v>#DIV/0!</v>
      </c>
      <c r="I86" s="98"/>
      <c r="K86" s="75"/>
    </row>
    <row r="87" spans="1:11" ht="15" customHeight="1" x14ac:dyDescent="0.35">
      <c r="B87" s="3" t="s">
        <v>182</v>
      </c>
      <c r="C87" s="232" t="e">
        <f>C86*Exchange_Rate/Dashboard!G3</f>
        <v>#VALUE!</v>
      </c>
      <c r="D87" s="98"/>
      <c r="E87" s="233" t="e">
        <f>E86*Exchange_Rate/Dashboard!G3</f>
        <v>#DIV/0!</v>
      </c>
      <c r="F87" s="98"/>
      <c r="H87" s="233" t="e">
        <f>H86*Exchange_Rate/Dashboard!G3</f>
        <v>#DIV/0!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</v>
      </c>
      <c r="D88" s="235" t="e">
        <f>C88/C86</f>
        <v>#VALUE!</v>
      </c>
      <c r="E88" s="255">
        <f>Inputs!E98</f>
        <v>0</v>
      </c>
      <c r="F88" s="235" t="e">
        <f>E88/E86</f>
        <v>#DIV/0!</v>
      </c>
      <c r="H88" s="255">
        <f>Inputs!F98</f>
        <v>0</v>
      </c>
      <c r="I88" s="235" t="e">
        <f>H88/H86</f>
        <v>#DIV/0!</v>
      </c>
      <c r="K88" s="75"/>
    </row>
    <row r="89" spans="1:11" ht="15" customHeight="1" x14ac:dyDescent="0.35">
      <c r="B89" s="3" t="s">
        <v>194</v>
      </c>
      <c r="C89" s="232">
        <f>C88*Exchange_Rate/Dashboard!G3</f>
        <v>0</v>
      </c>
      <c r="D89" s="98"/>
      <c r="E89" s="232">
        <f>E88*Exchange_Rate/Dashboard!G3</f>
        <v>0</v>
      </c>
      <c r="F89" s="98"/>
      <c r="H89" s="232">
        <f>H88*Exchange_Rate/Dashboard!G3</f>
        <v>0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CN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8.0500000000000002E-2</v>
      </c>
      <c r="D93" s="253">
        <f>Dashboard!H20</f>
        <v>4</v>
      </c>
      <c r="E93" s="3" t="s">
        <v>183</v>
      </c>
      <c r="F93" s="237" t="e">
        <f>FV(E87,D93,0,-(E86/(C93-D94)))*Exchange_Rate</f>
        <v>#DIV/0!</v>
      </c>
      <c r="H93" s="3" t="s">
        <v>183</v>
      </c>
      <c r="I93" s="237" t="e">
        <f>FV(H87,D93,0,-(H86/(C93-D94)))*Exchange_Rate</f>
        <v>#DIV/0!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0</v>
      </c>
      <c r="H94" s="3" t="s">
        <v>184</v>
      </c>
      <c r="I94" s="237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 t="e">
        <f>H97*Common_Shares/Data!C4</f>
        <v>#DIV/0!</v>
      </c>
      <c r="D97" s="244"/>
      <c r="E97" s="245" t="e">
        <f>PV(C94,D93,0,-F93)</f>
        <v>#DIV/0!</v>
      </c>
      <c r="F97" s="244"/>
      <c r="H97" s="245" t="e">
        <f>PV(C94,D93,0,-I93)</f>
        <v>#DIV/0!</v>
      </c>
      <c r="I97" s="245" t="e">
        <f>PV(C93,D93,0,-I93)</f>
        <v>#DIV/0!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 t="e">
        <f>MIN(F100*(1-C94),E100)</f>
        <v>#DIV/0!</v>
      </c>
      <c r="E100" s="251" t="e">
        <f>MAX(E97+H98+E99,0)</f>
        <v>#DIV/0!</v>
      </c>
      <c r="F100" s="251" t="e">
        <f>(E100+H100)/2</f>
        <v>#DIV/0!</v>
      </c>
      <c r="H100" s="251" t="e">
        <f>MAX(H97+H98+H99,0)</f>
        <v>#DIV/0!</v>
      </c>
      <c r="I100" s="251" t="e">
        <f>MAX(I97+H98+H99,0)</f>
        <v>#DIV/0!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0</v>
      </c>
      <c r="E103" s="245">
        <f>PV(C94,D93,0,-F94)</f>
        <v>0</v>
      </c>
      <c r="F103" s="251">
        <f>(E103+H103)/2</f>
        <v>0</v>
      </c>
      <c r="H103" s="245">
        <f>PV(C94,D93,0,-I94)</f>
        <v>0</v>
      </c>
      <c r="I103" s="251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 t="e">
        <f>(D100+D103)/2</f>
        <v>#DIV/0!</v>
      </c>
      <c r="E106" s="245" t="e">
        <f>(E100+E103)/2</f>
        <v>#DIV/0!</v>
      </c>
      <c r="F106" s="251" t="e">
        <f>(F100+F103)/2</f>
        <v>#DIV/0!</v>
      </c>
      <c r="H106" s="245" t="e">
        <f>(H100+H103)/2</f>
        <v>#DIV/0!</v>
      </c>
      <c r="I106" s="245" t="e">
        <f>(I100+I103)/2</f>
        <v>#DIV/0!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