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5EC7417-81E6-4765-B87C-4B4CB667FB8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71" i="4"/>
  <c r="D69" i="4"/>
  <c r="D68" i="4"/>
  <c r="D67" i="4"/>
  <c r="C65" i="4"/>
  <c r="D62" i="4"/>
  <c r="D63" i="4" s="1"/>
  <c r="D61" i="4"/>
  <c r="D60" i="4"/>
  <c r="D59" i="4"/>
  <c r="D58" i="4"/>
  <c r="D55" i="4"/>
  <c r="D50" i="4"/>
  <c r="D53" i="4" s="1"/>
  <c r="D44" i="4"/>
  <c r="C44" i="4"/>
  <c r="D27" i="4"/>
  <c r="C27" i="4"/>
  <c r="B47" i="4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6" i="4" l="1"/>
  <c r="E92" i="4"/>
  <c r="F97" i="4"/>
  <c r="D56" i="4"/>
  <c r="M56" i="2"/>
  <c r="E56" i="2"/>
  <c r="L56" i="2"/>
  <c r="D56" i="2"/>
  <c r="K56" i="2"/>
  <c r="J56" i="2"/>
  <c r="I56" i="2"/>
  <c r="H56" i="2"/>
  <c r="G56" i="2"/>
  <c r="F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<sst xmlns="http://schemas.openxmlformats.org/spreadsheetml/2006/main" count="392" uniqueCount="275">
  <si>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</si>
  <si>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</si>
  <si>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</si>
  <si>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</si>
  <si>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</si>
  <si>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</si>
  <si>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</si>
  <si>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</si>
  <si>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</si>
  <si>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</si>
  <si>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</si>
  <si>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</si>
  <si>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</si>
  <si>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</si>
  <si>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</si>
  <si>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</si>
  <si>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</si>
  <si>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</si>
  <si>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</si>
  <si>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</si>
  <si>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</si>
  <si>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</si>
  <si>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</si>
  <si>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</si>
  <si>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</si>
  <si>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</si>
  <si>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</si>
  <si>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</si>
  <si>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</si>
  <si>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</si>
  <si>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</si>
  <si>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</si>
  <si>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</si>
  <si>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</si>
  <si>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</si>
  <si>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</si>
  <si>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</si>
  <si>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</si>
  <si>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</si>
  <si>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</si>
  <si>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</si>
  <si>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</si>
  <si>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</si>
  <si>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</si>
  <si>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</si>
  <si>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</si>
  <si>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</si>
  <si>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</si>
  <si>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</si>
  <si>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</si>
  <si>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</si>
  <si>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</si>
  <si>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</si>
  <si>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</si>
  <si>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</si>
  <si>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</si>
  <si>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</si>
  <si>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</si>
  <si>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</si>
  <si>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</si>
  <si>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</si>
  <si>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</si>
  <si>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</si>
  <si>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</si>
  <si>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</si>
  <si>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</si>
  <si>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</si>
  <si>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</si>
  <si>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</si>
  <si>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</si>
  <si>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</si>
  <si>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</si>
  <si>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</si>
  <si>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</si>
  <si>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</si>
  <si>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</si>
  <si>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</si>
  <si>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</si>
  <si>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</si>
  <si>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</si>
  <si>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</si>
  <si>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</si>
  <si>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</si>
  <si>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</si>
  <si>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</si>
  <si>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</si>
  <si>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</si>
  <si>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</si>
  <si>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</si>
  <si>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</si>
  <si>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</si>
  <si>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</si>
  <si>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</si>
  <si>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</si>
  <si>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</si>
  <si>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</si>
  <si>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</si>
  <si>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</si>
  <si>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</si>
  <si>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</si>
  <si>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</si>
  <si>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</si>
  <si>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</si>
  <si>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</si>
  <si>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</si>
  <si>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</si>
  <si>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</si>
  <si>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</si>
  <si>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</si>
  <si>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</si>
  <si>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</si>
  <si>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</si>
  <si>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</si>
  <si>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</si>
  <si>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</si>
  <si>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</si>
  <si>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</si>
  <si>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</si>
  <si>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</si>
  <si>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</si>
  <si>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</si>
  <si>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</si>
  <si>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</si>
  <si>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</si>
  <si>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</si>
  <si>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</si>
  <si>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</si>
  <si>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</si>
  <si>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</si>
  <si>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</si>
  <si>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</si>
  <si>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</si>
  <si>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</si>
  <si>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</si>
  <si>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</si>
  <si>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</si>
  <si>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</si>
  <si>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</si>
  <si>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</si>
  <si>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</si>
  <si>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</si>
  <si>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</si>
  <si>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</si>
  <si>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</si>
  <si>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</si>
  <si>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</si>
  <si>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</si>
  <si>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</si>
  <si>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</si>
  <si>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</si>
  <si>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</si>
  <si>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</si>
  <si>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</si>
  <si>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</si>
  <si>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</si>
  <si>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</si>
  <si>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</si>
  <si>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</si>
  <si>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</si>
  <si>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</si>
  <si>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</si>
  <si>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</si>
  <si>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</si>
  <si>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</si>
  <si>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</si>
  <si>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</si>
  <si>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</si>
  <si>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</si>
  <si>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</si>
  <si>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</si>
  <si>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</si>
  <si>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</si>
  <si>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</si>
  <si>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</si>
  <si>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</si>
  <si>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</si>
  <si>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</si>
  <si>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</si>
  <si>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</si>
  <si>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</si>
  <si>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</si>
  <si>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</si>
  <si>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</si>
  <si>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</si>
  <si>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</si>
  <si>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</si>
  <si>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</si>
  <si>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</si>
  <si>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</si>
  <si>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</si>
  <si>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</si>
  <si>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</si>
  <si>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</si>
  <si>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</si>
  <si>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</si>
  <si>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</si>
  <si>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</si>
  <si>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</si>
  <si>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</si>
  <si>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</si>
  <si>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</si>
  <si>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</si>
  <si>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</si>
  <si>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</si>
  <si>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</si>
  <si>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</si>
  <si>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</si>
  <si>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</si>
  <si>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</si>
  <si>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</si>
  <si>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</si>
  <si>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</si>
  <si>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</si>
  <si>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</si>
  <si>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</si>
  <si>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</si>
  <si>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</si>
  <si>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</si>
  <si>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</si>
  <si>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</si>
  <si>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</si>
  <si>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</si>
  <si>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</si>
  <si>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</si>
  <si>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</si>
  <si>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</si>
  <si>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</si>
  <si>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</si>
  <si>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</si>
  <si>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</si>
  <si>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</si>
  <si>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</si>
  <si>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</si>
  <si>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</si>
  <si>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</si>
  <si>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</si>
  <si>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</si>
  <si>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</si>
  <si>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</si>
  <si>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</si>
  <si>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</si>
  <si>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</si>
  <si>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</si>
  <si>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</si>
  <si>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</si>
  <si>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</si>
  <si>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</si>
  <si>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</si>
  <si>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</si>
  <si>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</si>
  <si>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</si>
  <si>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</si>
  <si>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</si>
  <si>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</si>
  <si>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</si>
  <si>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</si>
  <si>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</si>
  <si>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</si>
  <si>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</si>
  <si>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</si>
  <si>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</si>
  <si>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</si>
  <si>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</si>
  <si>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</si>
  <si>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</si>
  <si>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</si>
  <si>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</si>
  <si>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</si>
  <si>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</si>
  <si>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0016.HK</t>
  </si>
  <si>
    <t>新鴻基地產</t>
  </si>
  <si>
    <t>C0005</t>
  </si>
  <si>
    <t>disagree</t>
  </si>
  <si>
    <t>Commodity-type Business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</si>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</sst>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39" t="s">
        <v>180</v>
      </c>
      <c r="C4" s="185" t="s">
        <v>269</v>
      </c>
    </row>
    <row r="5" spans="1:5" ht="13.9" x14ac:dyDescent="0.4">
      <c r="B5" s="139" t="s">
        <v>181</v>
      </c>
      <c r="C5" s="188" t="s">
        <v>270</v>
      </c>
    </row>
    <row r="6" spans="1:5" ht="13.9" x14ac:dyDescent="0.4">
      <c r="B6" s="139" t="s">
        <v>155</v>
      </c>
      <c r="C6" s="186">
        <v>45625</v>
      </c>
    </row>
    <row r="7" spans="1:5" ht="13.9" x14ac:dyDescent="0.4">
      <c r="B7" s="138" t="s">
        <v>4</v>
      </c>
      <c r="C7" s="187">
        <v>8</v>
      </c>
    </row>
    <row r="8" spans="1:5" ht="13.9" x14ac:dyDescent="0.4">
      <c r="B8" s="138" t="s">
        <v>201</v>
      </c>
      <c r="C8" s="188" t="s">
        <v>67</v>
      </c>
      <c r="E8" s="262"/>
    </row>
    <row r="9" spans="1:5" ht="13.9" x14ac:dyDescent="0.4">
      <c r="B9" s="138" t="s">
        <v>202</v>
      </c>
      <c r="C9" s="189" t="s">
        <v>271</v>
      </c>
    </row>
    <row r="10" spans="1:5" ht="13.9" x14ac:dyDescent="0.4">
      <c r="B10" s="138" t="s">
        <v>203</v>
      </c>
      <c r="C10" s="190">
        <v>2897780274</v>
      </c>
    </row>
    <row r="11" spans="1:5" ht="13.9" x14ac:dyDescent="0.4">
      <c r="B11" s="138" t="s">
        <v>204</v>
      </c>
      <c r="C11" s="189" t="s">
        <v>2</v>
      </c>
    </row>
    <row r="12" spans="1:5" ht="13.9" x14ac:dyDescent="0.4">
      <c r="B12" s="213" t="s">
        <v>10</v>
      </c>
      <c r="C12" s="214">
        <v>45473</v>
      </c>
    </row>
    <row r="13" spans="1:5" ht="13.9" x14ac:dyDescent="0.4">
      <c r="B13" s="213" t="s">
        <v>11</v>
      </c>
      <c r="C13" s="215">
        <v>1000000</v>
      </c>
    </row>
    <row r="14" spans="1:5" ht="13.9" x14ac:dyDescent="0.4">
      <c r="B14" s="213" t="s">
        <v>205</v>
      </c>
      <c r="C14" s="214">
        <v>45473</v>
      </c>
    </row>
    <row r="15" spans="1:5" ht="13.9" x14ac:dyDescent="0.4">
      <c r="B15" s="213" t="s">
        <v>237</v>
      </c>
      <c r="C15" s="173" t="s">
        <v>176</v>
      </c>
    </row>
    <row r="16" spans="1:5" ht="13.9" x14ac:dyDescent="0.4">
      <c r="B16" s="217" t="s">
        <v>93</v>
      </c>
      <c r="C16" s="218">
        <v>0.23499999999999999</v>
      </c>
      <c r="D16" s="24"/>
      <c r="E16" s="109" t="s">
        <v>268</v>
      </c>
    </row>
    <row r="17" spans="2:13" ht="13.9" x14ac:dyDescent="0.4">
      <c r="B17" s="235" t="s">
        <v>209</v>
      </c>
      <c r="C17" s="237" t="s">
        <v>272</v>
      </c>
      <c r="D17" s="24"/>
    </row>
    <row r="18" spans="2:13" ht="13.9" x14ac:dyDescent="0.4">
      <c r="B18" s="235" t="s">
        <v>223</v>
      </c>
      <c r="C18" s="237" t="s">
        <v>228</v>
      </c>
      <c r="D18" s="24"/>
    </row>
    <row r="19" spans="2:13" ht="13.9" x14ac:dyDescent="0.4">
      <c r="B19" s="235" t="s">
        <v>224</v>
      </c>
      <c r="C19" s="237" t="s">
        <v>228</v>
      </c>
      <c r="D19" s="24"/>
    </row>
    <row r="20" spans="2:13" ht="13.9" x14ac:dyDescent="0.4">
      <c r="B20" s="236" t="s">
        <v>213</v>
      </c>
      <c r="C20" s="237" t="s">
        <v>228</v>
      </c>
      <c r="D20" s="24"/>
    </row>
    <row r="21" spans="2:13" ht="13.9" x14ac:dyDescent="0.4">
      <c r="B21" s="219" t="s">
        <v>216</v>
      </c>
      <c r="C21" s="237" t="s">
        <v>228</v>
      </c>
      <c r="D21" s="24"/>
    </row>
    <row r="22" spans="2:13" ht="78.75" x14ac:dyDescent="0.4">
      <c r="B22" s="221" t="s">
        <v>215</v>
      </c>
      <c r="C22" s="238" t="s">
        <v>273</v>
      </c>
      <c r="D22" s="24"/>
    </row>
    <row r="24" spans="2:13" ht="13.9" x14ac:dyDescent="0.4">
      <c r="B24" s="114" t="s">
        <v>128</v>
      </c>
      <c r="C24" s="48">
        <f>C12</f>
        <v>45473</v>
      </c>
      <c r="D24" s="49">
        <f>EOMONTH(EDATE(C24,-12),0)</f>
        <v>45107</v>
      </c>
      <c r="E24" s="49">
        <f t="shared" ref="E24:M24" si="0">EOMONTH(EDATE(D24,-12),0)</f>
        <v>44742</v>
      </c>
      <c r="F24" s="49">
        <f t="shared" si="0"/>
        <v>44377</v>
      </c>
      <c r="G24" s="49">
        <f t="shared" si="0"/>
        <v>44012</v>
      </c>
      <c r="H24" s="49">
        <f t="shared" si="0"/>
        <v>43646</v>
      </c>
      <c r="I24" s="49">
        <f t="shared" si="0"/>
        <v>43281</v>
      </c>
      <c r="J24" s="49">
        <f t="shared" si="0"/>
        <v>42916</v>
      </c>
      <c r="K24" s="49">
        <f t="shared" si="0"/>
        <v>42551</v>
      </c>
      <c r="L24" s="49">
        <f t="shared" si="0"/>
        <v>42185</v>
      </c>
      <c r="M24" s="49">
        <f t="shared" si="0"/>
        <v>41820</v>
      </c>
    </row>
    <row r="25" spans="2:13" ht="13.9" x14ac:dyDescent="0.4">
      <c r="B25" s="93" t="s">
        <v>12</v>
      </c>
      <c r="C25" s="147">
        <v>71506</v>
      </c>
      <c r="D25" s="147">
        <v>71195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102</v>
      </c>
      <c r="C26" s="148">
        <v>39292</v>
      </c>
      <c r="D26" s="148">
        <v>36737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100</v>
      </c>
      <c r="C27" s="148">
        <f>3906+3322</f>
        <v>7228</v>
      </c>
      <c r="D27" s="148">
        <f>4179+3145</f>
        <v>7324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103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238</v>
      </c>
      <c r="C29" s="148">
        <v>4046</v>
      </c>
      <c r="D29" s="148">
        <v>3053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107</v>
      </c>
      <c r="C30" s="148">
        <v>559</v>
      </c>
      <c r="D30" s="148">
        <v>668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106</v>
      </c>
      <c r="C31" s="148">
        <v>-2259</v>
      </c>
      <c r="D31" s="148">
        <v>-1565</v>
      </c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101</v>
      </c>
      <c r="C32" s="148">
        <v>4805</v>
      </c>
      <c r="D32" s="148">
        <v>4765</v>
      </c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104</v>
      </c>
      <c r="C33" s="148">
        <v>4396</v>
      </c>
      <c r="D33" s="148">
        <v>4262</v>
      </c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260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112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141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>
        <v>207023</v>
      </c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17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18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132</v>
      </c>
      <c r="C41" s="148">
        <v>611071</v>
      </c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133</v>
      </c>
      <c r="C42" s="148">
        <v>4354</v>
      </c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131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193</v>
      </c>
      <c r="C44" s="245">
        <f>0.95+2.8</f>
        <v>3.75</v>
      </c>
      <c r="D44" s="245">
        <f>3.7+1.25</f>
        <v>4.95</v>
      </c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234</v>
      </c>
      <c r="C45" s="150">
        <f>IF(C44="","",C44*Exchange_Rate/Dashboard!$G$3)</f>
        <v>5.1652892561983473E-2</v>
      </c>
      <c r="D45" s="150">
        <f>IF(D44="","",D44*Exchange_Rate/Dashboard!$G$3)</f>
        <v>6.8181818181818191E-2</v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30</v>
      </c>
      <c r="D47" s="191" t="s">
        <v>182</v>
      </c>
      <c r="E47" s="110" t="s">
        <v>32</v>
      </c>
    </row>
    <row r="48" spans="2:13" ht="13.9" x14ac:dyDescent="0.4">
      <c r="B48" s="3" t="s">
        <v>34</v>
      </c>
      <c r="C48" s="59">
        <v>16221</v>
      </c>
      <c r="D48" s="60">
        <v>0.9</v>
      </c>
      <c r="E48" s="111"/>
    </row>
    <row r="49" spans="2:5" ht="13.9" x14ac:dyDescent="0.4">
      <c r="B49" s="1" t="s">
        <v>130</v>
      </c>
      <c r="C49" s="59"/>
      <c r="D49" s="60">
        <v>0.8</v>
      </c>
      <c r="E49" s="111"/>
    </row>
    <row r="50" spans="2:5" ht="13.9" x14ac:dyDescent="0.4">
      <c r="B50" s="3" t="s">
        <v>112</v>
      </c>
      <c r="C50" s="59">
        <v>17115</v>
      </c>
      <c r="D50" s="60">
        <f>D51</f>
        <v>0.6</v>
      </c>
      <c r="E50" s="111"/>
    </row>
    <row r="51" spans="2:5" ht="13.9" x14ac:dyDescent="0.4">
      <c r="B51" s="3" t="s">
        <v>38</v>
      </c>
      <c r="C51" s="59"/>
      <c r="D51" s="60">
        <v>0.6</v>
      </c>
      <c r="E51" s="111"/>
    </row>
    <row r="52" spans="2:5" ht="13.9" x14ac:dyDescent="0.4">
      <c r="B52" s="3" t="s">
        <v>40</v>
      </c>
      <c r="C52" s="59">
        <v>748</v>
      </c>
      <c r="D52" s="60">
        <v>0.5</v>
      </c>
      <c r="E52" s="111"/>
    </row>
    <row r="53" spans="2:5" ht="13.9" x14ac:dyDescent="0.4">
      <c r="B53" s="1" t="s">
        <v>150</v>
      </c>
      <c r="C53" s="59"/>
      <c r="D53" s="60">
        <f>D50</f>
        <v>0.6</v>
      </c>
      <c r="E53" s="111"/>
    </row>
    <row r="54" spans="2:5" ht="13.9" x14ac:dyDescent="0.4">
      <c r="B54" s="3" t="s">
        <v>242</v>
      </c>
      <c r="C54" s="59"/>
      <c r="D54" s="60">
        <v>0.1</v>
      </c>
      <c r="E54" s="111"/>
    </row>
    <row r="55" spans="2:5" ht="13.9" x14ac:dyDescent="0.4">
      <c r="B55" s="3" t="s">
        <v>43</v>
      </c>
      <c r="C55" s="59">
        <v>502</v>
      </c>
      <c r="D55" s="60">
        <f>D52</f>
        <v>0.5</v>
      </c>
      <c r="E55" s="111"/>
    </row>
    <row r="56" spans="2:5" ht="13.9" x14ac:dyDescent="0.4">
      <c r="B56" s="1" t="s">
        <v>44</v>
      </c>
      <c r="C56" s="59">
        <v>214077</v>
      </c>
      <c r="D56" s="60">
        <f>D50</f>
        <v>0.6</v>
      </c>
      <c r="E56" s="216" t="s">
        <v>42</v>
      </c>
    </row>
    <row r="57" spans="2:5" ht="13.9" x14ac:dyDescent="0.4">
      <c r="B57" s="3" t="s">
        <v>115</v>
      </c>
      <c r="C57" s="59"/>
      <c r="D57" s="60">
        <v>0.6</v>
      </c>
      <c r="E57" s="216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1"/>
    </row>
    <row r="59" spans="2:5" ht="13.9" x14ac:dyDescent="0.4">
      <c r="B59" s="35" t="s">
        <v>47</v>
      </c>
      <c r="C59" s="118"/>
      <c r="D59" s="192">
        <f>D70</f>
        <v>0.05</v>
      </c>
      <c r="E59" s="111"/>
    </row>
    <row r="60" spans="2:5" ht="13.9" x14ac:dyDescent="0.4">
      <c r="B60" s="3" t="s">
        <v>57</v>
      </c>
      <c r="C60" s="59"/>
      <c r="D60" s="60">
        <f>D49</f>
        <v>0.8</v>
      </c>
      <c r="E60" s="111"/>
    </row>
    <row r="61" spans="2:5" ht="13.9" x14ac:dyDescent="0.4">
      <c r="B61" s="3" t="s">
        <v>59</v>
      </c>
      <c r="C61" s="59"/>
      <c r="D61" s="60">
        <f>D51</f>
        <v>0.6</v>
      </c>
      <c r="E61" s="111"/>
    </row>
    <row r="62" spans="2:5" ht="13.9" x14ac:dyDescent="0.4">
      <c r="B62" s="3" t="s">
        <v>61</v>
      </c>
      <c r="C62" s="59">
        <v>1681</v>
      </c>
      <c r="D62" s="60">
        <f>D52</f>
        <v>0.5</v>
      </c>
      <c r="E62" s="111"/>
    </row>
    <row r="63" spans="2:5" ht="13.9" x14ac:dyDescent="0.4">
      <c r="B63" s="1" t="s">
        <v>151</v>
      </c>
      <c r="C63" s="59"/>
      <c r="D63" s="60">
        <f>D62</f>
        <v>0.5</v>
      </c>
      <c r="E63" s="111"/>
    </row>
    <row r="64" spans="2:5" ht="13.9" x14ac:dyDescent="0.4">
      <c r="B64" s="3" t="s">
        <v>241</v>
      </c>
      <c r="C64" s="59"/>
      <c r="D64" s="60">
        <v>0.4</v>
      </c>
      <c r="E64" s="111"/>
    </row>
    <row r="65" spans="2:5" ht="13.9" x14ac:dyDescent="0.4">
      <c r="B65" s="3" t="s">
        <v>66</v>
      </c>
      <c r="C65" s="59">
        <f>7954+93101</f>
        <v>101055</v>
      </c>
      <c r="D65" s="60">
        <v>0.1</v>
      </c>
      <c r="E65" s="216" t="s">
        <v>67</v>
      </c>
    </row>
    <row r="66" spans="2:5" ht="13.9" x14ac:dyDescent="0.4">
      <c r="B66" s="3" t="s">
        <v>68</v>
      </c>
      <c r="C66" s="59">
        <v>408424</v>
      </c>
      <c r="D66" s="60">
        <v>0.2</v>
      </c>
      <c r="E66" s="216" t="s">
        <v>42</v>
      </c>
    </row>
    <row r="67" spans="2:5" ht="13.9" x14ac:dyDescent="0.4">
      <c r="B67" s="1" t="s">
        <v>45</v>
      </c>
      <c r="C67" s="59"/>
      <c r="D67" s="60">
        <f>D65</f>
        <v>0.1</v>
      </c>
      <c r="E67" s="216" t="s">
        <v>42</v>
      </c>
    </row>
    <row r="68" spans="2:5" ht="13.9" x14ac:dyDescent="0.4">
      <c r="B68" s="3" t="s">
        <v>114</v>
      </c>
      <c r="C68" s="59">
        <v>50190</v>
      </c>
      <c r="D68" s="60">
        <f>D65</f>
        <v>0.1</v>
      </c>
      <c r="E68" s="111"/>
    </row>
    <row r="69" spans="2:5" ht="13.9" x14ac:dyDescent="0.4">
      <c r="B69" s="3" t="s">
        <v>69</v>
      </c>
      <c r="C69" s="59"/>
      <c r="D69" s="60">
        <f>D70</f>
        <v>0.05</v>
      </c>
      <c r="E69" s="111"/>
    </row>
    <row r="70" spans="2:5" ht="13.9" x14ac:dyDescent="0.4">
      <c r="B70" s="3" t="s">
        <v>70</v>
      </c>
      <c r="C70" s="59">
        <v>4338</v>
      </c>
      <c r="D70" s="60">
        <v>0.05</v>
      </c>
      <c r="E70" s="111"/>
    </row>
    <row r="71" spans="2:5" ht="13.9" x14ac:dyDescent="0.4">
      <c r="B71" s="3" t="s">
        <v>71</v>
      </c>
      <c r="C71" s="59"/>
      <c r="D71" s="60">
        <f>D58</f>
        <v>0.9</v>
      </c>
      <c r="E71" s="111"/>
    </row>
    <row r="72" spans="2:5" ht="14.25" thickBot="1" x14ac:dyDescent="0.45">
      <c r="B72" s="241" t="s">
        <v>72</v>
      </c>
      <c r="C72" s="242">
        <v>3743</v>
      </c>
      <c r="D72" s="243">
        <v>0</v>
      </c>
      <c r="E72" s="244"/>
    </row>
    <row r="73" spans="2:5" ht="13.9" x14ac:dyDescent="0.4">
      <c r="B73" s="3" t="s">
        <v>35</v>
      </c>
      <c r="C73" s="59">
        <v>10498</v>
      </c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5" t="s">
        <v>39</v>
      </c>
      <c r="C76" s="118"/>
    </row>
    <row r="77" spans="2:5" ht="14.25" thickBot="1" x14ac:dyDescent="0.45">
      <c r="B77" s="80" t="s">
        <v>16</v>
      </c>
      <c r="C77" s="82">
        <v>62012</v>
      </c>
    </row>
    <row r="78" spans="2:5" ht="14.25" thickTop="1" x14ac:dyDescent="0.4">
      <c r="B78" s="3" t="s">
        <v>58</v>
      </c>
      <c r="C78" s="59">
        <v>116589</v>
      </c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5" t="s">
        <v>63</v>
      </c>
      <c r="C81" s="118"/>
    </row>
    <row r="82" spans="2:8" ht="14.25" hidden="1" thickBot="1" x14ac:dyDescent="0.45">
      <c r="B82" s="80" t="s">
        <v>263</v>
      </c>
      <c r="C82" s="212">
        <v>145011</v>
      </c>
    </row>
    <row r="83" spans="2:8" ht="14.25" hidden="1" thickTop="1" x14ac:dyDescent="0.4">
      <c r="B83" s="73" t="s">
        <v>264</v>
      </c>
      <c r="C83" s="212">
        <v>606717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232</v>
      </c>
      <c r="C86" s="194">
        <v>5</v>
      </c>
    </row>
    <row r="87" spans="2:8" ht="13.9" x14ac:dyDescent="0.4">
      <c r="B87" s="10" t="s">
        <v>231</v>
      </c>
      <c r="C87" s="231" t="s">
        <v>233</v>
      </c>
      <c r="D87" s="264">
        <v>0.02</v>
      </c>
    </row>
    <row r="89" spans="2:8" ht="13.5" x14ac:dyDescent="0.35">
      <c r="B89" s="105" t="s">
        <v>122</v>
      </c>
      <c r="C89" s="284">
        <f>C24</f>
        <v>45473</v>
      </c>
      <c r="D89" s="284"/>
      <c r="E89" s="88" t="s">
        <v>192</v>
      </c>
      <c r="F89" s="88" t="s">
        <v>191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85" t="s">
        <v>97</v>
      </c>
      <c r="D90" s="285"/>
      <c r="E90" s="230" t="s">
        <v>98</v>
      </c>
      <c r="F90" s="250" t="s">
        <v>98</v>
      </c>
    </row>
    <row r="91" spans="2:8" ht="13.9" x14ac:dyDescent="0.4">
      <c r="B91" s="3" t="s">
        <v>121</v>
      </c>
      <c r="C91" s="77">
        <f>C25</f>
        <v>71506</v>
      </c>
      <c r="D91" s="204"/>
      <c r="E91" s="246">
        <f>C91</f>
        <v>71506</v>
      </c>
      <c r="F91" s="246">
        <f>C91</f>
        <v>71506</v>
      </c>
    </row>
    <row r="92" spans="2:8" ht="13.9" x14ac:dyDescent="0.4">
      <c r="B92" s="103" t="s">
        <v>102</v>
      </c>
      <c r="C92" s="77">
        <f>C26</f>
        <v>39292</v>
      </c>
      <c r="D92" s="156">
        <f>C92/C91</f>
        <v>0.54949235029228316</v>
      </c>
      <c r="E92" s="247">
        <f>E91*D92</f>
        <v>39292</v>
      </c>
      <c r="F92" s="247">
        <f>F91*D92</f>
        <v>39292</v>
      </c>
    </row>
    <row r="93" spans="2:8" ht="13.9" x14ac:dyDescent="0.4">
      <c r="B93" s="103" t="s">
        <v>230</v>
      </c>
      <c r="C93" s="77">
        <f>C27+C28</f>
        <v>7228</v>
      </c>
      <c r="D93" s="156">
        <f>C93/C91</f>
        <v>0.10108242664951193</v>
      </c>
      <c r="E93" s="247">
        <f>E91*D93</f>
        <v>7228</v>
      </c>
      <c r="F93" s="247">
        <f>F91*D93</f>
        <v>7228</v>
      </c>
    </row>
    <row r="94" spans="2:8" ht="13.9" x14ac:dyDescent="0.4">
      <c r="B94" s="103" t="s">
        <v>238</v>
      </c>
      <c r="C94" s="77">
        <f>C29</f>
        <v>4046</v>
      </c>
      <c r="D94" s="156">
        <f>C94/C91</f>
        <v>5.6582664391799292E-2</v>
      </c>
      <c r="E94" s="248"/>
      <c r="F94" s="247">
        <f>F91*D94</f>
        <v>4046</v>
      </c>
    </row>
    <row r="95" spans="2:8" ht="13.9" x14ac:dyDescent="0.4">
      <c r="B95" s="28" t="s">
        <v>229</v>
      </c>
      <c r="C95" s="77">
        <f>ABS(MAX(C33,0)-C32)</f>
        <v>409</v>
      </c>
      <c r="D95" s="156">
        <f>C95/C91</f>
        <v>5.719799737085E-3</v>
      </c>
      <c r="E95" s="247">
        <f>E91*D95</f>
        <v>409</v>
      </c>
      <c r="F95" s="247">
        <f>F91*D95</f>
        <v>409</v>
      </c>
    </row>
    <row r="96" spans="2:8" ht="13.9" x14ac:dyDescent="0.4">
      <c r="B96" s="28" t="s">
        <v>106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161</v>
      </c>
      <c r="C97" s="77">
        <f>MAX(C30,0)/(1-C16)</f>
        <v>730.718954248366</v>
      </c>
      <c r="D97" s="156">
        <f>C97/C91</f>
        <v>1.0218987976510586E-2</v>
      </c>
      <c r="E97" s="248"/>
      <c r="F97" s="247">
        <f>F91*D97</f>
        <v>730.718954248366</v>
      </c>
    </row>
    <row r="98" spans="2:7" ht="13.9" x14ac:dyDescent="0.4">
      <c r="B98" s="85" t="s">
        <v>193</v>
      </c>
      <c r="C98" s="232">
        <f>C44</f>
        <v>3.75</v>
      </c>
      <c r="D98" s="261"/>
      <c r="E98" s="249">
        <f>F98</f>
        <v>3.75</v>
      </c>
      <c r="F98" s="249">
        <f>C98</f>
        <v>3.75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0016.HK : 新鴻基地產</v>
      </c>
      <c r="D2" s="86"/>
      <c r="E2" s="7"/>
      <c r="F2" s="7"/>
      <c r="G2" s="85"/>
      <c r="H2" s="85"/>
    </row>
    <row r="3" spans="1:10" ht="15.75" customHeight="1" x14ac:dyDescent="0.4">
      <c r="B3" s="3" t="s">
        <v>180</v>
      </c>
      <c r="C3" s="290" t="str">
        <f>Inputs!C4</f>
        <v>0016.HK</v>
      </c>
      <c r="D3" s="291"/>
      <c r="E3" s="86"/>
      <c r="F3" s="3" t="s">
        <v>1</v>
      </c>
      <c r="G3" s="130">
        <v>72.599999999999994</v>
      </c>
      <c r="H3" s="132" t="s">
        <v>274</v>
      </c>
    </row>
    <row r="4" spans="1:10" ht="15.75" customHeight="1" x14ac:dyDescent="0.4">
      <c r="B4" s="35" t="s">
        <v>181</v>
      </c>
      <c r="C4" s="292" t="str">
        <f>Inputs!C5</f>
        <v>新鴻基地產</v>
      </c>
      <c r="D4" s="293"/>
      <c r="E4" s="86"/>
      <c r="F4" s="3" t="s">
        <v>3</v>
      </c>
      <c r="G4" s="296">
        <f>Inputs!C10</f>
        <v>2897780274</v>
      </c>
      <c r="H4" s="296"/>
      <c r="I4" s="39"/>
    </row>
    <row r="5" spans="1:10" ht="15.75" customHeight="1" x14ac:dyDescent="0.4">
      <c r="B5" s="3" t="s">
        <v>155</v>
      </c>
      <c r="C5" s="294">
        <f>Inputs!C6</f>
        <v>45625</v>
      </c>
      <c r="D5" s="295"/>
      <c r="E5" s="34"/>
      <c r="F5" s="35" t="s">
        <v>96</v>
      </c>
      <c r="G5" s="288">
        <f>G3*G4/1000000</f>
        <v>210378.84789239999</v>
      </c>
      <c r="H5" s="288"/>
      <c r="I5" s="38"/>
      <c r="J5" s="28"/>
    </row>
    <row r="6" spans="1:10" ht="15.75" customHeight="1" x14ac:dyDescent="0.4">
      <c r="B6" s="86" t="s">
        <v>4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89" t="str">
        <f>Inputs!C11</f>
        <v>HKD</v>
      </c>
      <c r="H6" s="289"/>
      <c r="I6" s="38"/>
    </row>
    <row r="7" spans="1:10" ht="15.75" customHeight="1" x14ac:dyDescent="0.4">
      <c r="B7" s="85" t="s">
        <v>178</v>
      </c>
      <c r="C7" s="184" t="str">
        <f>Inputs!C8</f>
        <v>N</v>
      </c>
      <c r="D7" s="184" t="str">
        <f>Inputs!C9</f>
        <v>C0005</v>
      </c>
      <c r="E7" s="86"/>
      <c r="F7" s="35" t="s">
        <v>6</v>
      </c>
      <c r="G7" s="131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7" t="s">
        <v>177</v>
      </c>
      <c r="F9" s="141" t="s">
        <v>172</v>
      </c>
    </row>
    <row r="10" spans="1:10" ht="15.75" customHeight="1" x14ac:dyDescent="0.4">
      <c r="B10" s="1" t="s">
        <v>163</v>
      </c>
      <c r="C10" s="169">
        <v>4.2000000000000003E-2</v>
      </c>
      <c r="F10" s="109" t="s">
        <v>170</v>
      </c>
    </row>
    <row r="11" spans="1:10" ht="15.75" customHeight="1" thickBot="1" x14ac:dyDescent="0.45">
      <c r="B11" s="120" t="s">
        <v>167</v>
      </c>
      <c r="C11" s="170">
        <v>5.2299999999999999E-2</v>
      </c>
      <c r="D11" s="135" t="s">
        <v>176</v>
      </c>
      <c r="F11" s="109" t="s">
        <v>165</v>
      </c>
    </row>
    <row r="12" spans="1:10" ht="15.75" customHeight="1" thickTop="1" x14ac:dyDescent="0.4">
      <c r="B12" s="86" t="s">
        <v>235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164</v>
      </c>
      <c r="C14" s="169">
        <v>1.8100000000000002E-2</v>
      </c>
      <c r="F14" s="109" t="s">
        <v>169</v>
      </c>
    </row>
    <row r="15" spans="1:10" ht="15.75" customHeight="1" x14ac:dyDescent="0.4">
      <c r="B15" s="1" t="s">
        <v>173</v>
      </c>
      <c r="C15" s="169">
        <v>6.5000000000000002E-2</v>
      </c>
      <c r="F15" s="109" t="s">
        <v>168</v>
      </c>
    </row>
    <row r="16" spans="1:10" ht="15.75" customHeight="1" thickBot="1" x14ac:dyDescent="0.45">
      <c r="B16" s="120" t="s">
        <v>174</v>
      </c>
      <c r="C16" s="170">
        <v>0.16</v>
      </c>
      <c r="D16" s="260" t="str">
        <f>Inputs!C15</f>
        <v>HK</v>
      </c>
      <c r="F16" s="109" t="s">
        <v>166</v>
      </c>
    </row>
    <row r="17" spans="1:8" ht="15.75" customHeight="1" thickTop="1" x14ac:dyDescent="0.4">
      <c r="B17" s="86" t="s">
        <v>236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48</v>
      </c>
      <c r="D19" s="86"/>
      <c r="E19" s="86"/>
      <c r="F19" s="140" t="s">
        <v>198</v>
      </c>
      <c r="G19" s="86"/>
      <c r="H19" s="86"/>
    </row>
    <row r="20" spans="1:8" ht="15.75" customHeight="1" thickBot="1" x14ac:dyDescent="0.45">
      <c r="B20" s="270" t="s">
        <v>249</v>
      </c>
      <c r="C20" s="271">
        <f>C21*C22*C23</f>
        <v>3.9977915643952019E-2</v>
      </c>
      <c r="F20" s="86" t="s">
        <v>197</v>
      </c>
      <c r="G20" s="169">
        <v>0.15</v>
      </c>
    </row>
    <row r="21" spans="1:8" ht="15.75" customHeight="1" thickTop="1" x14ac:dyDescent="0.4">
      <c r="B21" s="272" t="s">
        <v>254</v>
      </c>
      <c r="C21" s="283">
        <f>Data!C13</f>
        <v>0.33920623508169434</v>
      </c>
      <c r="F21" s="86"/>
      <c r="G21" s="29"/>
    </row>
    <row r="22" spans="1:8" ht="15.75" customHeight="1" x14ac:dyDescent="0.4">
      <c r="B22" s="273" t="s">
        <v>261</v>
      </c>
      <c r="C22" s="274">
        <f>Data!C48</f>
        <v>8.7405603757025482E-2</v>
      </c>
      <c r="F22" s="140" t="s">
        <v>171</v>
      </c>
    </row>
    <row r="23" spans="1:8" ht="15.75" customHeight="1" thickBot="1" x14ac:dyDescent="0.45">
      <c r="B23" s="275" t="s">
        <v>267</v>
      </c>
      <c r="C23" s="282">
        <f>1/Data!C53</f>
        <v>1.3483947210973155</v>
      </c>
      <c r="F23" s="138" t="s">
        <v>175</v>
      </c>
      <c r="G23" s="174">
        <f>G3/(Data!C34*Data!C4/Common_Shares*Exchange_Rate)</f>
        <v>0.34427889376586351</v>
      </c>
    </row>
    <row r="24" spans="1:8" ht="15.75" customHeight="1" x14ac:dyDescent="0.4">
      <c r="B24" s="280" t="s">
        <v>255</v>
      </c>
      <c r="C24" s="281">
        <f>Fin_Analysis!I81</f>
        <v>5.6582664391799292E-2</v>
      </c>
      <c r="F24" s="138" t="s">
        <v>240</v>
      </c>
      <c r="G24" s="263">
        <f>G3/(Fin_Analysis!H86*G7)</f>
        <v>13.888945782600958</v>
      </c>
    </row>
    <row r="25" spans="1:8" ht="15.75" customHeight="1" x14ac:dyDescent="0.4">
      <c r="B25" s="135" t="s">
        <v>256</v>
      </c>
      <c r="C25" s="168">
        <f>Fin_Analysis!I80</f>
        <v>0</v>
      </c>
      <c r="F25" s="138" t="s">
        <v>162</v>
      </c>
      <c r="G25" s="168">
        <f>Fin_Analysis!I88</f>
        <v>0.71740422430790074</v>
      </c>
    </row>
    <row r="26" spans="1:8" ht="15.75" customHeight="1" x14ac:dyDescent="0.4">
      <c r="B26" s="136" t="s">
        <v>257</v>
      </c>
      <c r="C26" s="168">
        <f>Fin_Analysis!I80+Fin_Analysis!I82</f>
        <v>5.719799737085E-3</v>
      </c>
      <c r="F26" s="139" t="s">
        <v>179</v>
      </c>
      <c r="G26" s="175">
        <f>Fin_Analysis!H88*Exchange_Rate/G3</f>
        <v>5.1652892561983473E-2</v>
      </c>
    </row>
    <row r="27" spans="1:8" ht="15.75" customHeight="1" x14ac:dyDescent="0.4"/>
    <row r="28" spans="1:8" ht="15.75" customHeight="1" x14ac:dyDescent="0.4">
      <c r="A28" s="5"/>
      <c r="B28" s="89" t="s">
        <v>7</v>
      </c>
      <c r="C28" s="88" t="s">
        <v>158</v>
      </c>
      <c r="D28" s="43" t="s">
        <v>159</v>
      </c>
      <c r="E28" s="58"/>
      <c r="F28" s="53" t="s">
        <v>222</v>
      </c>
      <c r="G28" s="286" t="s">
        <v>239</v>
      </c>
      <c r="H28" s="286"/>
    </row>
    <row r="29" spans="1:8" ht="15.75" customHeight="1" x14ac:dyDescent="0.4">
      <c r="B29" s="86" t="s">
        <v>160</v>
      </c>
      <c r="C29" s="128">
        <f>IF(Fin_Analysis!C108="Profit",Fin_Analysis!D100,IF(Fin_Analysis!C108="Dividend",Fin_Analysis!D103,Fin_Analysis!D106))</f>
        <v>18.406189767514103</v>
      </c>
      <c r="D29" s="127">
        <f>G29*(1+G20)</f>
        <v>53.383222652848133</v>
      </c>
      <c r="E29" s="86"/>
      <c r="F29" s="129">
        <f>IF(Fin_Analysis!C108="Profit",Fin_Analysis!F100,IF(Fin_Analysis!C108="Dividend",Fin_Analysis!F103,Fin_Analysis!F106))</f>
        <v>21.65434090295777</v>
      </c>
      <c r="G29" s="287">
        <f>IF(Fin_Analysis!C108="Profit",Fin_Analysis!I100,IF(Fin_Analysis!C108="Dividend",Fin_Analysis!I103,Fin_Analysis!I106))</f>
        <v>46.420193611172294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3" t="s">
        <v>208</v>
      </c>
      <c r="C32" s="219"/>
    </row>
    <row r="33" spans="1:3" ht="15.75" customHeight="1" x14ac:dyDescent="0.4">
      <c r="A33"/>
      <c r="B33" s="20" t="s">
        <v>209</v>
      </c>
      <c r="C33" s="240" t="str">
        <f>Inputs!C17</f>
        <v>disagree</v>
      </c>
    </row>
    <row r="34" spans="1:3" ht="15.75" customHeight="1" x14ac:dyDescent="0.4">
      <c r="A34"/>
      <c r="B34" s="19" t="s">
        <v>210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3" t="s">
        <v>211</v>
      </c>
      <c r="C35" s="219"/>
    </row>
    <row r="36" spans="1:3" ht="15.75" customHeight="1" x14ac:dyDescent="0.4">
      <c r="A36"/>
      <c r="B36" s="20" t="s">
        <v>223</v>
      </c>
      <c r="C36" s="240" t="str">
        <f>Inputs!C18</f>
        <v>unclear</v>
      </c>
    </row>
    <row r="37" spans="1:3" ht="15.75" customHeight="1" x14ac:dyDescent="0.4">
      <c r="A37"/>
      <c r="B37" s="20" t="s">
        <v>224</v>
      </c>
      <c r="C37" s="240" t="str">
        <f>Inputs!C19</f>
        <v>unclear</v>
      </c>
    </row>
    <row r="38" spans="1:3" ht="15.75" customHeight="1" x14ac:dyDescent="0.4">
      <c r="A38"/>
      <c r="B38" s="193" t="s">
        <v>212</v>
      </c>
      <c r="C38" s="219"/>
    </row>
    <row r="39" spans="1:3" ht="15.75" customHeight="1" x14ac:dyDescent="0.4">
      <c r="A39"/>
      <c r="B39" s="19" t="s">
        <v>213</v>
      </c>
      <c r="C39" s="240" t="str">
        <f>Inputs!C20</f>
        <v>unclear</v>
      </c>
    </row>
    <row r="40" spans="1:3" ht="15.75" customHeight="1" x14ac:dyDescent="0.4">
      <c r="A40"/>
      <c r="B40" s="1" t="s">
        <v>216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1" t="s">
        <v>215</v>
      </c>
      <c r="C43" s="239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6" t="s">
        <v>185</v>
      </c>
      <c r="F2" s="117" t="s">
        <v>188</v>
      </c>
      <c r="G2" s="146" t="s">
        <v>189</v>
      </c>
      <c r="H2" s="145" t="s">
        <v>190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10</v>
      </c>
      <c r="C3" s="198">
        <f>Inputs!C12</f>
        <v>45473</v>
      </c>
      <c r="E3" s="144" t="s">
        <v>186</v>
      </c>
      <c r="F3" s="84" t="str">
        <f>H14</f>
        <v/>
      </c>
      <c r="G3" s="84">
        <f>C14</f>
        <v>24255.281045751635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11</v>
      </c>
      <c r="C4" s="126">
        <f>Inputs!C13</f>
        <v>1000000</v>
      </c>
      <c r="D4" s="1" t="str">
        <f>Dashboard!G6</f>
        <v>HKD</v>
      </c>
      <c r="E4" s="144" t="s">
        <v>187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128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93" t="s">
        <v>12</v>
      </c>
      <c r="C6" s="197">
        <f>IF(Inputs!C25=""," ",Inputs!C25)</f>
        <v>71506</v>
      </c>
      <c r="D6" s="197">
        <f>IF(Inputs!D25="","",Inputs!D25)</f>
        <v>71195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13</v>
      </c>
      <c r="C7" s="91">
        <f t="shared" ref="C7:M7" si="1">IF(D6="","",C6/D6-1)</f>
        <v>4.3682842896271001E-3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102</v>
      </c>
      <c r="C8" s="196">
        <f>IF(Inputs!C26="","",Inputs!C26)</f>
        <v>39292</v>
      </c>
      <c r="D8" s="196">
        <f>IF(Inputs!D26="","",Inputs!D26)</f>
        <v>36737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99</v>
      </c>
      <c r="C9" s="149">
        <f t="shared" ref="C9:M9" si="2">IF(C6="","",(C6-C8))</f>
        <v>32214</v>
      </c>
      <c r="D9" s="149">
        <f t="shared" si="2"/>
        <v>34458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100</v>
      </c>
      <c r="C10" s="196">
        <f>IF(Inputs!C27="","",Inputs!C27)</f>
        <v>7228</v>
      </c>
      <c r="D10" s="196">
        <f>IF(Inputs!D27="","",Inputs!D27)</f>
        <v>7324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103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225</v>
      </c>
      <c r="C12" s="196">
        <f>IF(Inputs!C30="","",MAX(Inputs!C30,0)/(1-Fin_Analysis!$I$84))</f>
        <v>730.718954248366</v>
      </c>
      <c r="D12" s="196">
        <f>IF(Inputs!D30="","",MAX(Inputs!D30,0)/(1-Fin_Analysis!$I$84))</f>
        <v>873.20261437908493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226</v>
      </c>
      <c r="C13" s="224">
        <f t="shared" ref="C13:M13" si="3">IF(C14="","",C14/C6)</f>
        <v>0.33920623508169434</v>
      </c>
      <c r="D13" s="224">
        <f t="shared" si="3"/>
        <v>0.36885732685751688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218</v>
      </c>
      <c r="C14" s="225">
        <f>IF(C6="","",C9-C10-MAX(C11,0)-MAX(C12,0))</f>
        <v>24255.281045751635</v>
      </c>
      <c r="D14" s="225">
        <f t="shared" ref="D14:M14" si="4">IF(D6="","",D9-D10-MAX(D11,0)-MAX(D12,0))</f>
        <v>26260.797385620914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227</v>
      </c>
      <c r="C15" s="227">
        <f>IF(D14="","",IF(ABS(C14+D14)=ABS(C14)+ABS(D14),IF(C14&lt;0,-1,1)*(C14-D14)/D14,"Turn"))</f>
        <v>-7.6369209602424257E-2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106</v>
      </c>
      <c r="C16" s="196">
        <f>IF(Inputs!C31="","",Inputs!C31)</f>
        <v>-2259</v>
      </c>
      <c r="D16" s="196">
        <f>IF(Inputs!D31="","",Inputs!D31)</f>
        <v>-1565</v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238</v>
      </c>
      <c r="C17" s="196">
        <f>IF(Inputs!C29="","",Inputs!C29)</f>
        <v>4046</v>
      </c>
      <c r="D17" s="196">
        <f>IF(Inputs!D29="","",Inputs!D29)</f>
        <v>3053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95</v>
      </c>
      <c r="C18" s="150">
        <f t="shared" ref="C18:M18" si="6">IF(OR(C6="",C19=""),"",C19/C6)</f>
        <v>6.7197158280424024E-2</v>
      </c>
      <c r="D18" s="150">
        <f t="shared" si="6"/>
        <v>6.6928857363578897E-2</v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101</v>
      </c>
      <c r="C19" s="196">
        <f>IF(Inputs!C32="","",Inputs!C32)</f>
        <v>4805</v>
      </c>
      <c r="D19" s="196">
        <f>IF(Inputs!D32="","",Inputs!D32)</f>
        <v>4765</v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220</v>
      </c>
      <c r="C20" s="150">
        <f t="shared" ref="C20:M20" si="7">IF(C6="","",MAX(C21,0)/C6)</f>
        <v>6.1477358543339022E-2</v>
      </c>
      <c r="D20" s="150">
        <f t="shared" si="7"/>
        <v>5.9863754477140249E-2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104</v>
      </c>
      <c r="C21" s="196">
        <f>IF(Inputs!C33="","",Inputs!C33)</f>
        <v>4396</v>
      </c>
      <c r="D21" s="196">
        <f>IF(Inputs!D33="","",Inputs!D33)</f>
        <v>4262</v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108</v>
      </c>
      <c r="C22" s="158">
        <f>IF(C6="","",C14-MAX(C16,0)-MAX(C17,0)-ABS(MAX(C21,0)-MAX(C19,0)))</f>
        <v>19800.281045751635</v>
      </c>
      <c r="D22" s="158">
        <f t="shared" ref="D22:M22" si="8">IF(D6="","",D14-MAX(D16,0)-MAX(D17,0)-ABS(MAX(D21,0)-MAX(D19,0)))</f>
        <v>22704.797385620914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109</v>
      </c>
      <c r="C23" s="151">
        <f t="shared" ref="C23:M23" si="9">IF(C6="","",C24/C6)</f>
        <v>0.21183138477889971</v>
      </c>
      <c r="D23" s="151">
        <f t="shared" si="9"/>
        <v>0.2439661493082379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110</v>
      </c>
      <c r="C24" s="152">
        <f>IF(C6="","",C22*(1-Fin_Analysis!$I$84))</f>
        <v>15147.215000000002</v>
      </c>
      <c r="D24" s="77">
        <f>IF(D6="","",D22*(1-Fin_Analysis!$I$84))</f>
        <v>17369.169999999998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123</v>
      </c>
      <c r="C25" s="228">
        <f>IF(D24="","",IF(ABS(C24+D24)=ABS(C24)+ABS(D24),IF(C24&lt;0,-1,1)*(C24-D24)/D24,"Turn"))</f>
        <v>-0.12792522613343046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129</v>
      </c>
      <c r="C26" s="48">
        <f>Fin_Analysis!D9</f>
        <v>45473</v>
      </c>
      <c r="D26" s="49">
        <f>D5</f>
        <v>45107</v>
      </c>
      <c r="E26" s="49">
        <f t="shared" ref="E26" si="11">EOMONTH(EDATE(D26,-12),0)</f>
        <v>44742</v>
      </c>
      <c r="F26" s="49">
        <f t="shared" ref="F26" si="12">EOMONTH(EDATE(E26,-12),0)</f>
        <v>44377</v>
      </c>
      <c r="G26" s="49">
        <f t="shared" ref="G26" si="13">EOMONTH(EDATE(F26,-12),0)</f>
        <v>44012</v>
      </c>
      <c r="H26" s="49">
        <f t="shared" ref="H26" si="14">EOMONTH(EDATE(G26,-12),0)</f>
        <v>43646</v>
      </c>
      <c r="I26" s="49">
        <f t="shared" ref="I26" si="15">EOMONTH(EDATE(H26,-12),0)</f>
        <v>43281</v>
      </c>
      <c r="J26" s="49">
        <f t="shared" ref="J26" si="16">EOMONTH(EDATE(I26,-12),0)</f>
        <v>42916</v>
      </c>
      <c r="K26" s="49">
        <f t="shared" ref="K26" si="17">EOMONTH(EDATE(J26,-12),0)</f>
        <v>42551</v>
      </c>
      <c r="L26" s="49">
        <f t="shared" ref="L26" si="18">EOMONTH(EDATE(K26,-12),0)</f>
        <v>42185</v>
      </c>
      <c r="M26" s="49">
        <f t="shared" ref="M26" si="19">EOMONTH(EDATE(L26,-12),0)</f>
        <v>41820</v>
      </c>
      <c r="N26" s="86"/>
    </row>
    <row r="27" spans="1:14" ht="15.75" customHeight="1" x14ac:dyDescent="0.4">
      <c r="A27" s="4"/>
      <c r="B27" s="93" t="s">
        <v>14</v>
      </c>
      <c r="C27" s="65">
        <f>IF(C34="","",C34+C30)</f>
        <v>818094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112</v>
      </c>
      <c r="C28" s="65">
        <f>Fin_Analysis!C13</f>
        <v>17115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141</v>
      </c>
      <c r="C29" s="65">
        <f>Fin_Analysis!C18</f>
        <v>502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207023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17</v>
      </c>
      <c r="C31" s="65">
        <f>Fin_Analysis!I15</f>
        <v>10498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18</v>
      </c>
      <c r="C32" s="65">
        <f>Fin_Analysis!I34</f>
        <v>116589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19</v>
      </c>
      <c r="C33" s="77">
        <f t="shared" ref="C33" si="21">IF(OR(C31="",C32=""),"",C31+C32)</f>
        <v>127087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132</v>
      </c>
      <c r="C34" s="65">
        <f>Inputs!C41</f>
        <v>611071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133</v>
      </c>
      <c r="C35" s="65">
        <f>Inputs!C42</f>
        <v>4354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131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135</v>
      </c>
      <c r="C37" s="65">
        <f>Fin_Analysis!C68</f>
        <v>698389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149</v>
      </c>
      <c r="C38" s="153">
        <f>IF(C6="","",C14/MAX(C37,0))</f>
        <v>3.4730330869689581E-2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94</v>
      </c>
      <c r="C40" s="154">
        <f t="shared" ref="C40:M40" si="34">IF(C6="","",C8/C6)</f>
        <v>0.54949235029228316</v>
      </c>
      <c r="D40" s="154">
        <f t="shared" si="34"/>
        <v>0.51600533745347288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219</v>
      </c>
      <c r="C41" s="151">
        <f t="shared" ref="C41:M41" si="35">IF(C6="","",(C10+MAX(C11,0))/C6)</f>
        <v>0.10108242664951193</v>
      </c>
      <c r="D41" s="151">
        <f t="shared" si="35"/>
        <v>0.10287239272420816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105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117</v>
      </c>
      <c r="C43" s="151">
        <f t="shared" ref="C43:M43" si="37">IF(C6="","",MAX(C17,0)/C6)</f>
        <v>5.6582664391799292E-2</v>
      </c>
      <c r="D43" s="151">
        <f t="shared" si="37"/>
        <v>4.2882224875342372E-2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124</v>
      </c>
      <c r="C44" s="151">
        <f t="shared" ref="C44:M44" si="38">IF(C6="","",MAX(C12,0)/C6)</f>
        <v>1.0218987976510586E-2</v>
      </c>
      <c r="D44" s="151">
        <f t="shared" si="38"/>
        <v>1.2264942964802092E-2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221</v>
      </c>
      <c r="C45" s="151">
        <f t="shared" ref="C45:M45" si="39">IF(C6="","",ABS(MAX(C21,0)-MAX(C19,0))/C6)</f>
        <v>5.719799737085E-3</v>
      </c>
      <c r="D45" s="151">
        <f t="shared" si="39"/>
        <v>7.0651028864386544E-3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119</v>
      </c>
      <c r="C46" s="151">
        <f t="shared" ref="C46:M46" si="40">IF(C6="","",C22/C6)</f>
        <v>0.27690377095281005</v>
      </c>
      <c r="D46" s="151">
        <f t="shared" si="40"/>
        <v>0.31890999909573586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6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>
        <f t="shared" ref="C48:M48" si="41">IF(C6="","",C6/C27)</f>
        <v>8.7405603757025482E-2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0.23935054401029285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7.0203898973512716E-3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>
        <f t="shared" ref="C51:M51" si="44">IF(D6="","",C16/(C6-D6))</f>
        <v>-7.2636655948553051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>
        <f t="shared" ref="C53:M53" si="45">IF(C34="","",(C34-C35)/C27)</f>
        <v>0.74162260082582199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116</v>
      </c>
      <c r="C54" s="155">
        <f t="shared" ref="C54:M54" si="46">IF(OR(C22="",C33=""),"",IF(C33&lt;=0,"-",C22/C33))</f>
        <v>0.15580099495425681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118</v>
      </c>
      <c r="C55" s="151">
        <f t="shared" ref="C55:M55" si="47">IF(C22="","",IF(MAX(C17,0)&lt;=0,"-",C17/C22))</f>
        <v>0.20434053388692244</v>
      </c>
      <c r="D55" s="151">
        <f t="shared" si="47"/>
        <v>0.13446497443458727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>
        <f t="shared" ref="C58:M58" si="49">IF(C14="","",C14/(C34-C35))</f>
        <v>3.9977915643952013E-2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>
        <f t="shared" ref="C59:M59" si="50">IF(C22="","",C22/(C34-C35))</f>
        <v>3.2635118260657993E-2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6"/>
      <c r="F2" s="7"/>
      <c r="G2" s="7"/>
      <c r="H2" s="7"/>
      <c r="I2" s="86"/>
      <c r="K2" s="50" t="s">
        <v>8</v>
      </c>
    </row>
    <row r="3" spans="1:11" ht="15" customHeight="1" x14ac:dyDescent="0.4">
      <c r="B3" s="3" t="s">
        <v>21</v>
      </c>
      <c r="C3" s="86"/>
      <c r="D3" s="202">
        <f>Inputs!C41</f>
        <v>611071</v>
      </c>
      <c r="E3" s="67" t="str">
        <f>IF((C49-I49)=D3,"", "Error!")</f>
        <v/>
      </c>
      <c r="F3" s="86"/>
      <c r="G3" s="86"/>
      <c r="H3" s="47" t="s">
        <v>22</v>
      </c>
      <c r="I3" s="278">
        <f>D3-D4</f>
        <v>606717</v>
      </c>
      <c r="K3" s="24"/>
    </row>
    <row r="4" spans="1:11" ht="15" customHeight="1" x14ac:dyDescent="0.4">
      <c r="B4" s="3" t="s">
        <v>23</v>
      </c>
      <c r="C4" s="86"/>
      <c r="D4" s="196">
        <f>Inputs!C42</f>
        <v>4354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24</v>
      </c>
      <c r="H5" s="1" t="s">
        <v>25</v>
      </c>
      <c r="I5" s="63">
        <f>C28/I28</f>
        <v>4.0099174353350966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6"/>
      <c r="D6" s="69">
        <f>(E49-I49-E53)</f>
        <v>40428.799999999988</v>
      </c>
      <c r="E6" s="56">
        <f>1-D6/D3</f>
        <v>0.93383943927956004</v>
      </c>
      <c r="F6" s="86"/>
      <c r="G6" s="86"/>
      <c r="H6" s="1" t="s">
        <v>26</v>
      </c>
      <c r="I6" s="63">
        <f>(C24+C25)/I28</f>
        <v>0.54963555440882406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13.951644423403231</v>
      </c>
      <c r="E7" s="11" t="str">
        <f>Dashboard!H3</f>
        <v>HKD</v>
      </c>
      <c r="H7" s="1" t="s">
        <v>27</v>
      </c>
      <c r="I7" s="63">
        <f>C24/I28</f>
        <v>0.53757337289556861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28</v>
      </c>
      <c r="C9" s="85"/>
      <c r="D9" s="200">
        <f>Inputs!C14</f>
        <v>45473</v>
      </c>
      <c r="E9" s="117" t="str">
        <f>IF(MONTH(D9)=MONTH(Data!C3),"FY","Quarter")</f>
        <v>FY</v>
      </c>
      <c r="F9" s="85"/>
      <c r="G9" s="85"/>
      <c r="H9" s="85"/>
      <c r="I9" s="85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0" t="s">
        <v>32</v>
      </c>
      <c r="G10" s="86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16221</v>
      </c>
      <c r="D11" s="195">
        <f>Inputs!D48</f>
        <v>0.9</v>
      </c>
      <c r="E11" s="87">
        <f t="shared" ref="E11:E22" si="0">C11*D11</f>
        <v>14598.9</v>
      </c>
      <c r="F11" s="111"/>
      <c r="G11" s="86"/>
      <c r="H11" s="3" t="s">
        <v>35</v>
      </c>
      <c r="I11" s="40">
        <f>Inputs!C73</f>
        <v>10498</v>
      </c>
      <c r="J11" s="86"/>
      <c r="K11" s="24"/>
    </row>
    <row r="12" spans="1:11" ht="13.9" x14ac:dyDescent="0.4">
      <c r="B12" s="1" t="s">
        <v>130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36</v>
      </c>
      <c r="I12" s="40">
        <f>Inputs!C74</f>
        <v>0</v>
      </c>
      <c r="J12" s="86"/>
      <c r="K12" s="24"/>
    </row>
    <row r="13" spans="1:11" ht="13.9" x14ac:dyDescent="0.4">
      <c r="B13" s="3" t="s">
        <v>112</v>
      </c>
      <c r="C13" s="40">
        <f>Inputs!C50</f>
        <v>17115</v>
      </c>
      <c r="D13" s="195">
        <f>Inputs!D50</f>
        <v>0.6</v>
      </c>
      <c r="E13" s="87">
        <f t="shared" si="0"/>
        <v>10269</v>
      </c>
      <c r="F13" s="111"/>
      <c r="G13" s="86"/>
      <c r="H13" s="3" t="s">
        <v>37</v>
      </c>
      <c r="I13" s="40">
        <f>Inputs!C75</f>
        <v>0</v>
      </c>
      <c r="J13" s="86"/>
      <c r="K13" s="26"/>
    </row>
    <row r="14" spans="1:11" ht="13.9" x14ac:dyDescent="0.4">
      <c r="B14" s="3" t="s">
        <v>38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39</v>
      </c>
      <c r="I14" s="201">
        <f>Inputs!C76</f>
        <v>0</v>
      </c>
      <c r="J14" s="86"/>
      <c r="K14" s="27"/>
    </row>
    <row r="15" spans="1:11" ht="13.9" x14ac:dyDescent="0.4">
      <c r="B15" s="3" t="s">
        <v>40</v>
      </c>
      <c r="C15" s="40">
        <f>Inputs!C52</f>
        <v>748</v>
      </c>
      <c r="D15" s="195">
        <f>Inputs!D52</f>
        <v>0.5</v>
      </c>
      <c r="E15" s="87">
        <f t="shared" si="0"/>
        <v>374</v>
      </c>
      <c r="F15" s="111"/>
      <c r="G15" s="86"/>
      <c r="H15" s="1" t="s">
        <v>50</v>
      </c>
      <c r="I15" s="83">
        <f>SUM(I11:I14)</f>
        <v>10498</v>
      </c>
      <c r="J15" s="86"/>
    </row>
    <row r="16" spans="1:11" ht="13.9" x14ac:dyDescent="0.4">
      <c r="B16" s="1" t="s">
        <v>150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113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43</v>
      </c>
      <c r="C18" s="40">
        <f>Inputs!C55</f>
        <v>502</v>
      </c>
      <c r="D18" s="195">
        <f>Inputs!D55</f>
        <v>0.5</v>
      </c>
      <c r="E18" s="87">
        <f t="shared" si="0"/>
        <v>251</v>
      </c>
      <c r="F18" s="111"/>
      <c r="G18" s="86"/>
      <c r="H18" s="86"/>
      <c r="I18" s="86"/>
    </row>
    <row r="19" spans="2:10" ht="13.9" x14ac:dyDescent="0.4">
      <c r="B19" s="1" t="s">
        <v>44</v>
      </c>
      <c r="C19" s="40">
        <f>Inputs!C56</f>
        <v>214077</v>
      </c>
      <c r="D19" s="195">
        <f>Inputs!D56</f>
        <v>0.6</v>
      </c>
      <c r="E19" s="87">
        <f t="shared" si="0"/>
        <v>128446.2</v>
      </c>
      <c r="F19" s="132" t="str">
        <f>Inputs!E56</f>
        <v>Y</v>
      </c>
      <c r="G19" s="30">
        <f>IF(F19="Y",0,1)</f>
        <v>0</v>
      </c>
    </row>
    <row r="20" spans="2:10" ht="13.9" x14ac:dyDescent="0.4">
      <c r="B20" s="3" t="s">
        <v>115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41</v>
      </c>
      <c r="I22" s="52">
        <f>I28-SUM(I11:I14)</f>
        <v>51514</v>
      </c>
    </row>
    <row r="23" spans="2:10" ht="15" customHeight="1" x14ac:dyDescent="0.4">
      <c r="C23" s="86"/>
      <c r="D23" s="86"/>
      <c r="E23" s="86"/>
      <c r="F23" s="110" t="s">
        <v>48</v>
      </c>
      <c r="G23" s="86"/>
    </row>
    <row r="24" spans="2:10" ht="15" customHeight="1" x14ac:dyDescent="0.4">
      <c r="B24" s="23" t="s">
        <v>49</v>
      </c>
      <c r="C24" s="61">
        <f>SUM(C11:C14)</f>
        <v>33336</v>
      </c>
      <c r="D24" s="62">
        <f>IF(E24=0,0,E24/C24)</f>
        <v>0.74597732181425491</v>
      </c>
      <c r="E24" s="87">
        <f>SUM(E11:E14)</f>
        <v>24867.9</v>
      </c>
      <c r="F24" s="112">
        <f>E24/$E$28</f>
        <v>0.16154375334141879</v>
      </c>
      <c r="G24" s="86"/>
    </row>
    <row r="25" spans="2:10" ht="15" customHeight="1" x14ac:dyDescent="0.4">
      <c r="B25" s="23" t="s">
        <v>51</v>
      </c>
      <c r="C25" s="61">
        <f>SUM(C15:C17)</f>
        <v>748</v>
      </c>
      <c r="D25" s="62">
        <f>IF(E25=0,0,E25/C25)</f>
        <v>0.5</v>
      </c>
      <c r="E25" s="87">
        <f>SUM(E15:E17)</f>
        <v>374</v>
      </c>
      <c r="F25" s="112">
        <f>E25/$E$28</f>
        <v>2.4295321981225044E-3</v>
      </c>
      <c r="G25" s="86"/>
      <c r="H25" s="23" t="s">
        <v>52</v>
      </c>
      <c r="I25" s="63">
        <f>E28/I28</f>
        <v>2.4824082435657617</v>
      </c>
    </row>
    <row r="26" spans="2:10" ht="15" customHeight="1" x14ac:dyDescent="0.4">
      <c r="B26" s="23" t="s">
        <v>53</v>
      </c>
      <c r="C26" s="61">
        <f>C18+C19+C20</f>
        <v>214579</v>
      </c>
      <c r="D26" s="62">
        <f>IF(E26=0,0,E26/C26)</f>
        <v>0.59976605352807122</v>
      </c>
      <c r="E26" s="87">
        <f>E18+E19+E20</f>
        <v>128697.2</v>
      </c>
      <c r="F26" s="112">
        <f>E26/$E$28</f>
        <v>0.83602671446045862</v>
      </c>
      <c r="G26" s="86"/>
      <c r="H26" s="23" t="s">
        <v>54</v>
      </c>
      <c r="I26" s="63">
        <f>E24/($I$28-I22)</f>
        <v>2.3688226328824538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>
        <f>E27/$E$28</f>
        <v>0</v>
      </c>
      <c r="G27" s="86"/>
      <c r="H27" s="23" t="s">
        <v>56</v>
      </c>
      <c r="I27" s="63">
        <f>(E25+E24)/$I$28</f>
        <v>0.40704863574791977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248663</v>
      </c>
      <c r="D28" s="57">
        <f>E28/C28</f>
        <v>0.61906717123174737</v>
      </c>
      <c r="E28" s="70">
        <f>SUM(E24:E27)</f>
        <v>153939.1</v>
      </c>
      <c r="F28" s="111"/>
      <c r="G28" s="86"/>
      <c r="H28" s="78" t="s">
        <v>16</v>
      </c>
      <c r="I28" s="202">
        <f>Inputs!C77</f>
        <v>62012</v>
      </c>
      <c r="J28" s="32">
        <f>IF(J26="",1,0)+IF(J27="",1,0)+IF(J46="",1,0)+IF(J47="",1,0)</f>
        <v>1</v>
      </c>
    </row>
    <row r="29" spans="2:10" ht="15" customHeight="1" x14ac:dyDescent="0.4">
      <c r="C29" s="86"/>
      <c r="D29" s="86"/>
      <c r="E29" s="86"/>
      <c r="F29" s="111" t="s">
        <v>32</v>
      </c>
      <c r="G29" s="86"/>
      <c r="H29" s="86"/>
      <c r="I29" s="86"/>
      <c r="J29" s="86"/>
    </row>
    <row r="30" spans="2:10" ht="15" customHeight="1" x14ac:dyDescent="0.4">
      <c r="B30" s="3" t="s">
        <v>57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58</v>
      </c>
      <c r="I30" s="40">
        <f>Inputs!C78</f>
        <v>116589</v>
      </c>
      <c r="J30" s="86"/>
    </row>
    <row r="31" spans="2:10" ht="15" customHeight="1" x14ac:dyDescent="0.4">
      <c r="B31" s="3" t="s">
        <v>59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60</v>
      </c>
      <c r="I31" s="40">
        <f>Inputs!C79</f>
        <v>0</v>
      </c>
      <c r="J31" s="86"/>
    </row>
    <row r="32" spans="2:10" ht="15" customHeight="1" x14ac:dyDescent="0.4">
      <c r="B32" s="3" t="s">
        <v>61</v>
      </c>
      <c r="C32" s="40">
        <f>Inputs!C62</f>
        <v>1681</v>
      </c>
      <c r="D32" s="195">
        <f>Inputs!D62</f>
        <v>0.5</v>
      </c>
      <c r="E32" s="87">
        <f t="shared" si="1"/>
        <v>840.5</v>
      </c>
      <c r="F32" s="111"/>
      <c r="G32" s="86"/>
      <c r="H32" s="3" t="s">
        <v>62</v>
      </c>
      <c r="I32" s="40">
        <f>Inputs!C80</f>
        <v>0</v>
      </c>
      <c r="J32" s="86"/>
    </row>
    <row r="33" spans="2:10" ht="13.9" x14ac:dyDescent="0.4">
      <c r="B33" s="1" t="s">
        <v>151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63</v>
      </c>
      <c r="I33" s="201">
        <f>Inputs!C81</f>
        <v>0</v>
      </c>
      <c r="J33" s="86"/>
    </row>
    <row r="34" spans="2:10" ht="13.9" x14ac:dyDescent="0.4">
      <c r="B34" s="3" t="s">
        <v>64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74</v>
      </c>
      <c r="I34" s="83">
        <f>SUM(I30:I33)</f>
        <v>116589</v>
      </c>
      <c r="J34" s="86"/>
    </row>
    <row r="35" spans="2:10" ht="13.9" x14ac:dyDescent="0.4">
      <c r="B35" s="3" t="s">
        <v>66</v>
      </c>
      <c r="C35" s="40">
        <f>Inputs!C65</f>
        <v>101055</v>
      </c>
      <c r="D35" s="195">
        <f>Inputs!D65</f>
        <v>0.1</v>
      </c>
      <c r="E35" s="87">
        <f t="shared" si="1"/>
        <v>10105.5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68</v>
      </c>
      <c r="C36" s="40">
        <f>Inputs!C66</f>
        <v>408424</v>
      </c>
      <c r="D36" s="195">
        <f>Inputs!D66</f>
        <v>0.2</v>
      </c>
      <c r="E36" s="87">
        <f t="shared" si="1"/>
        <v>81684.800000000003</v>
      </c>
      <c r="F36" s="132" t="str">
        <f>Inputs!E66</f>
        <v>Y</v>
      </c>
      <c r="G36" s="30">
        <f>IF(F36="Y",0,1)</f>
        <v>0</v>
      </c>
      <c r="H36" s="86"/>
      <c r="I36" s="86"/>
    </row>
    <row r="37" spans="2:10" ht="13.9" x14ac:dyDescent="0.4">
      <c r="B37" s="1" t="s">
        <v>45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114</v>
      </c>
      <c r="C38" s="40">
        <f>Inputs!C68</f>
        <v>50190</v>
      </c>
      <c r="D38" s="195">
        <f>Inputs!D68</f>
        <v>0.1</v>
      </c>
      <c r="E38" s="87">
        <f t="shared" si="1"/>
        <v>5019</v>
      </c>
      <c r="F38" s="111"/>
      <c r="G38" s="86"/>
      <c r="H38" s="86"/>
      <c r="I38" s="86"/>
    </row>
    <row r="39" spans="2:10" ht="13.9" x14ac:dyDescent="0.4">
      <c r="B39" s="3" t="s">
        <v>69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70</v>
      </c>
      <c r="C40" s="40">
        <f>Inputs!C70</f>
        <v>4338</v>
      </c>
      <c r="D40" s="195">
        <f>Inputs!D70</f>
        <v>0.05</v>
      </c>
      <c r="E40" s="87">
        <f t="shared" si="1"/>
        <v>216.9</v>
      </c>
      <c r="F40" s="111"/>
      <c r="G40" s="86"/>
      <c r="H40" s="86"/>
      <c r="I40" s="86"/>
    </row>
    <row r="41" spans="2:10" ht="15" customHeight="1" x14ac:dyDescent="0.4">
      <c r="B41" s="3" t="s">
        <v>71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72</v>
      </c>
      <c r="C42" s="40">
        <f>Inputs!C72</f>
        <v>3743</v>
      </c>
      <c r="D42" s="195">
        <f>Inputs!D72</f>
        <v>0</v>
      </c>
      <c r="E42" s="87">
        <f t="shared" si="1"/>
        <v>0</v>
      </c>
      <c r="F42" s="111"/>
      <c r="G42" s="86"/>
      <c r="H42" s="3" t="s">
        <v>65</v>
      </c>
      <c r="I42" s="52">
        <f>I48-SUM(I30:I33)</f>
        <v>28422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75</v>
      </c>
      <c r="C45" s="61">
        <f>SUM(C32:C35)</f>
        <v>102736</v>
      </c>
      <c r="D45" s="62">
        <f>IF(E45=0,0,E45/C45)</f>
        <v>0.10654493069615324</v>
      </c>
      <c r="E45" s="87">
        <f>SUM(E32:E35)</f>
        <v>10946</v>
      </c>
      <c r="F45" s="72"/>
      <c r="G45" s="86"/>
    </row>
    <row r="46" spans="2:10" ht="15" customHeight="1" x14ac:dyDescent="0.4">
      <c r="B46" s="23" t="s">
        <v>76</v>
      </c>
      <c r="C46" s="61">
        <f>C36+C37+C38+C39</f>
        <v>458614</v>
      </c>
      <c r="D46" s="62">
        <f>IF(E46=0,0,E46/C46)</f>
        <v>0.18905615615746577</v>
      </c>
      <c r="E46" s="87">
        <f>E36+E37+E38+E39</f>
        <v>86703.8</v>
      </c>
      <c r="F46" s="86"/>
      <c r="G46" s="86"/>
      <c r="H46" s="23" t="s">
        <v>77</v>
      </c>
      <c r="I46" s="63">
        <f>(E44+E24)/E64</f>
        <v>0.19567619032631192</v>
      </c>
      <c r="J46" s="8" t="str">
        <f>IF(I46&lt;1,"Liquidity Problem!","")</f>
        <v>Liquidity Problem!</v>
      </c>
    </row>
    <row r="47" spans="2:10" ht="15" customHeight="1" x14ac:dyDescent="0.4">
      <c r="B47" s="23" t="s">
        <v>78</v>
      </c>
      <c r="C47" s="61">
        <f>C40+C41+C42</f>
        <v>8081</v>
      </c>
      <c r="D47" s="62">
        <f>IF(E47=0,0,E47/C47)</f>
        <v>2.6840737532483606E-2</v>
      </c>
      <c r="E47" s="87">
        <f>E40+E41+E42</f>
        <v>216.9</v>
      </c>
      <c r="F47" s="86"/>
      <c r="G47" s="86"/>
      <c r="H47" s="23" t="s">
        <v>79</v>
      </c>
      <c r="I47" s="63">
        <f>(E44+E45+E24+E25)/$I$49</f>
        <v>0.17480135057457385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80</v>
      </c>
      <c r="C48" s="279">
        <f>SUM(C30:C42)</f>
        <v>569431</v>
      </c>
      <c r="D48" s="81">
        <f>E48/C48</f>
        <v>0.17186753092121784</v>
      </c>
      <c r="E48" s="76">
        <f>SUM(E30:E42)</f>
        <v>97866.7</v>
      </c>
      <c r="F48" s="86"/>
      <c r="G48" s="86"/>
      <c r="H48" s="80" t="s">
        <v>81</v>
      </c>
      <c r="I48" s="277">
        <f>I49-I28</f>
        <v>145011</v>
      </c>
      <c r="J48" s="8"/>
    </row>
    <row r="49" spans="2:11" ht="15" customHeight="1" thickTop="1" x14ac:dyDescent="0.4">
      <c r="B49" s="3" t="s">
        <v>14</v>
      </c>
      <c r="C49" s="61">
        <f>Inputs!C41+Inputs!C37</f>
        <v>818094</v>
      </c>
      <c r="D49" s="56">
        <f>E49/C49</f>
        <v>0.30779568118089118</v>
      </c>
      <c r="E49" s="87">
        <f>E28+E48</f>
        <v>251805.8</v>
      </c>
      <c r="F49" s="86"/>
      <c r="G49" s="86"/>
      <c r="H49" s="3" t="s">
        <v>82</v>
      </c>
      <c r="I49" s="40">
        <f>Inputs!C37</f>
        <v>207023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8</v>
      </c>
    </row>
    <row r="53" spans="2:11" ht="13.9" x14ac:dyDescent="0.4">
      <c r="B53" s="3" t="s">
        <v>85</v>
      </c>
      <c r="C53" s="87">
        <f>MAX(D4,0)</f>
        <v>4354</v>
      </c>
      <c r="D53" s="29">
        <f>IF(E53=0, 0,E53/C53)</f>
        <v>1</v>
      </c>
      <c r="E53" s="87">
        <f>IF(C53=0,0,MAX(C53,C53*Dashboard!G23))</f>
        <v>4354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142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86</v>
      </c>
      <c r="C56" s="86"/>
      <c r="D56" s="297">
        <f>I15+I34</f>
        <v>127087</v>
      </c>
      <c r="E56" s="295"/>
      <c r="F56" s="3"/>
      <c r="G56" s="3"/>
      <c r="I56" s="56"/>
      <c r="K56" s="33"/>
    </row>
    <row r="57" spans="2:11" ht="13.9" x14ac:dyDescent="0.4">
      <c r="B57" s="20" t="s">
        <v>87</v>
      </c>
      <c r="C57" s="86"/>
      <c r="D57" s="296">
        <f>Inputs!C84</f>
        <v>0</v>
      </c>
      <c r="E57" s="295"/>
      <c r="G57" s="86"/>
      <c r="I57" s="86"/>
      <c r="K57" s="33" t="s">
        <v>88</v>
      </c>
    </row>
    <row r="58" spans="2:11" ht="12.75" customHeight="1" x14ac:dyDescent="0.4">
      <c r="B58" s="20" t="s">
        <v>89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145</v>
      </c>
      <c r="C60" s="3"/>
      <c r="D60" s="75" t="s">
        <v>90</v>
      </c>
      <c r="E60" s="86"/>
      <c r="F60" s="9"/>
      <c r="G60" s="9"/>
      <c r="I60" s="86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103484</v>
      </c>
      <c r="D61" s="56">
        <f t="shared" ref="D61:D70" si="2">IF(E61=0,0,E61/C61)</f>
        <v>0.10938889103629547</v>
      </c>
      <c r="E61" s="52">
        <f>E14+E15+(E19*G19)+(E20*G20)+E31+E32+(E35*G35)+(E36*G36)+(E37*G37)</f>
        <v>11320</v>
      </c>
      <c r="F61" s="86"/>
      <c r="G61" s="86"/>
      <c r="I61" s="86"/>
      <c r="K61" s="33"/>
    </row>
    <row r="62" spans="2:11" ht="13.9" x14ac:dyDescent="0.4">
      <c r="B62" s="35" t="s">
        <v>134</v>
      </c>
      <c r="C62" s="115">
        <f>C11+C30</f>
        <v>16221</v>
      </c>
      <c r="D62" s="106">
        <f t="shared" si="2"/>
        <v>0.9</v>
      </c>
      <c r="E62" s="116">
        <f>E11+E30</f>
        <v>14598.9</v>
      </c>
      <c r="F62" s="86"/>
      <c r="G62" s="86"/>
      <c r="I62" s="86"/>
      <c r="K62" s="33"/>
    </row>
    <row r="63" spans="2:11" ht="13.9" x14ac:dyDescent="0.4">
      <c r="B63" s="19" t="s">
        <v>136</v>
      </c>
      <c r="C63" s="68">
        <f>C61+C62</f>
        <v>119705</v>
      </c>
      <c r="D63" s="29">
        <f t="shared" si="2"/>
        <v>0.21652311933503196</v>
      </c>
      <c r="E63" s="61">
        <f>E61+E62</f>
        <v>25918.9</v>
      </c>
      <c r="F63" s="86"/>
      <c r="G63" s="86"/>
      <c r="I63" s="86"/>
      <c r="K63" s="33"/>
    </row>
    <row r="64" spans="2:11" ht="14.25" thickBot="1" x14ac:dyDescent="0.45">
      <c r="B64" s="119" t="s">
        <v>143</v>
      </c>
      <c r="C64" s="203"/>
      <c r="D64" s="203"/>
      <c r="E64" s="69">
        <f>D56+D57+D58</f>
        <v>127087</v>
      </c>
      <c r="F64" s="86"/>
      <c r="G64" s="86"/>
      <c r="I64" s="86"/>
      <c r="K64" s="33"/>
    </row>
    <row r="65" spans="1:11" ht="14.25" thickTop="1" x14ac:dyDescent="0.4">
      <c r="B65" s="3" t="s">
        <v>137</v>
      </c>
      <c r="C65" s="68">
        <f>C63-E64</f>
        <v>-7382</v>
      </c>
      <c r="D65" s="29">
        <f t="shared" si="2"/>
        <v>13.704700623137361</v>
      </c>
      <c r="E65" s="61">
        <f>E63-E64</f>
        <v>-101168.1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6"/>
      <c r="G67" s="86"/>
      <c r="I67" s="86"/>
      <c r="K67" s="33"/>
    </row>
    <row r="68" spans="1:11" ht="13.9" x14ac:dyDescent="0.4">
      <c r="B68" s="19" t="s">
        <v>135</v>
      </c>
      <c r="C68" s="68">
        <f>C49-C63</f>
        <v>698389</v>
      </c>
      <c r="D68" s="29">
        <f t="shared" si="2"/>
        <v>0.32343994535996412</v>
      </c>
      <c r="E68" s="68">
        <f>E49-E63</f>
        <v>225886.9</v>
      </c>
      <c r="F68" s="86"/>
      <c r="G68" s="86"/>
      <c r="I68" s="86"/>
      <c r="K68" s="33"/>
    </row>
    <row r="69" spans="1:11" ht="14.25" thickBot="1" x14ac:dyDescent="0.45">
      <c r="B69" s="119" t="s">
        <v>144</v>
      </c>
      <c r="C69" s="203"/>
      <c r="D69" s="203"/>
      <c r="E69" s="124">
        <f>I49-E64</f>
        <v>79936</v>
      </c>
      <c r="F69" s="86"/>
      <c r="G69" s="86"/>
      <c r="I69" s="86"/>
      <c r="K69" s="33"/>
    </row>
    <row r="70" spans="1:11" ht="14.25" thickTop="1" x14ac:dyDescent="0.4">
      <c r="B70" s="19" t="s">
        <v>138</v>
      </c>
      <c r="C70" s="68">
        <f>C68-E69</f>
        <v>618453</v>
      </c>
      <c r="D70" s="29">
        <f t="shared" si="2"/>
        <v>0.2359935193135129</v>
      </c>
      <c r="E70" s="68">
        <f>E68-E69</f>
        <v>145950.9</v>
      </c>
      <c r="F70" s="86"/>
      <c r="G70" s="86"/>
      <c r="I70" s="86"/>
      <c r="K70" s="33"/>
    </row>
    <row r="72" spans="1:11" ht="15" customHeight="1" x14ac:dyDescent="0.4">
      <c r="A72" s="5"/>
      <c r="B72" s="105" t="s">
        <v>122</v>
      </c>
      <c r="C72" s="284">
        <f>Data!C5</f>
        <v>45473</v>
      </c>
      <c r="D72" s="284"/>
      <c r="E72" s="298" t="s">
        <v>192</v>
      </c>
      <c r="F72" s="298"/>
      <c r="H72" s="298" t="s">
        <v>191</v>
      </c>
      <c r="I72" s="298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85" t="s">
        <v>97</v>
      </c>
      <c r="D73" s="285"/>
      <c r="E73" s="299" t="s">
        <v>98</v>
      </c>
      <c r="F73" s="285"/>
      <c r="H73" s="299" t="s">
        <v>98</v>
      </c>
      <c r="I73" s="285"/>
      <c r="K73" s="24"/>
    </row>
    <row r="74" spans="1:11" ht="15" customHeight="1" x14ac:dyDescent="0.4">
      <c r="B74" s="3" t="s">
        <v>121</v>
      </c>
      <c r="C74" s="77">
        <f>Data!C6</f>
        <v>71506</v>
      </c>
      <c r="D74" s="204"/>
      <c r="E74" s="233">
        <f>Inputs!E91</f>
        <v>71506</v>
      </c>
      <c r="F74" s="204"/>
      <c r="H74" s="233">
        <f>Inputs!F91</f>
        <v>71506</v>
      </c>
      <c r="I74" s="204"/>
      <c r="K74" s="24"/>
    </row>
    <row r="75" spans="1:11" ht="15" customHeight="1" x14ac:dyDescent="0.4">
      <c r="B75" s="103" t="s">
        <v>102</v>
      </c>
      <c r="C75" s="77">
        <f>Data!C8</f>
        <v>39292</v>
      </c>
      <c r="D75" s="156">
        <f>C75/$C$74</f>
        <v>0.54949235029228316</v>
      </c>
      <c r="E75" s="233">
        <f>Inputs!E92</f>
        <v>39292</v>
      </c>
      <c r="F75" s="157">
        <f>E75/E74</f>
        <v>0.54949235029228316</v>
      </c>
      <c r="H75" s="233">
        <f>Inputs!F92</f>
        <v>39292</v>
      </c>
      <c r="I75" s="157">
        <f>H75/$H$74</f>
        <v>0.54949235029228316</v>
      </c>
      <c r="K75" s="24"/>
    </row>
    <row r="76" spans="1:11" ht="15" customHeight="1" x14ac:dyDescent="0.4">
      <c r="B76" s="35" t="s">
        <v>92</v>
      </c>
      <c r="C76" s="158">
        <f>C74-C75</f>
        <v>32214</v>
      </c>
      <c r="D76" s="205"/>
      <c r="E76" s="159">
        <f>E74-E75</f>
        <v>32214</v>
      </c>
      <c r="F76" s="205"/>
      <c r="H76" s="159">
        <f>H74-H75</f>
        <v>32214</v>
      </c>
      <c r="I76" s="205"/>
      <c r="K76" s="24"/>
    </row>
    <row r="77" spans="1:11" ht="15" customHeight="1" x14ac:dyDescent="0.4">
      <c r="B77" s="103" t="s">
        <v>230</v>
      </c>
      <c r="C77" s="77">
        <f>Data!C10+MAX(Data!C11,0)</f>
        <v>7228</v>
      </c>
      <c r="D77" s="156">
        <f>C77/$C$74</f>
        <v>0.10108242664951193</v>
      </c>
      <c r="E77" s="233">
        <f>Inputs!E93</f>
        <v>7228</v>
      </c>
      <c r="F77" s="157">
        <f>E77/E74</f>
        <v>0.10108242664951193</v>
      </c>
      <c r="H77" s="233">
        <f>Inputs!F93</f>
        <v>7228</v>
      </c>
      <c r="I77" s="157">
        <f>H77/$H$74</f>
        <v>0.10108242664951193</v>
      </c>
      <c r="K77" s="24"/>
    </row>
    <row r="78" spans="1:11" ht="15" customHeight="1" x14ac:dyDescent="0.4">
      <c r="B78" s="73" t="s">
        <v>161</v>
      </c>
      <c r="C78" s="77">
        <f>MAX(Data!C12,0)</f>
        <v>730.718954248366</v>
      </c>
      <c r="D78" s="156">
        <f>C78/$C$74</f>
        <v>1.0218987976510586E-2</v>
      </c>
      <c r="E78" s="177">
        <f>E74*F78</f>
        <v>730.718954248366</v>
      </c>
      <c r="F78" s="157">
        <f>I78</f>
        <v>1.0218987976510586E-2</v>
      </c>
      <c r="H78" s="233">
        <f>Inputs!F97</f>
        <v>730.718954248366</v>
      </c>
      <c r="I78" s="157">
        <f>H78/$H$74</f>
        <v>1.0218987976510586E-2</v>
      </c>
      <c r="K78" s="24"/>
    </row>
    <row r="79" spans="1:11" ht="15" customHeight="1" x14ac:dyDescent="0.4">
      <c r="B79" s="251" t="s">
        <v>217</v>
      </c>
      <c r="C79" s="252">
        <f>C76-C77-C78</f>
        <v>24255.281045751635</v>
      </c>
      <c r="D79" s="253">
        <f>C79/C74</f>
        <v>0.33920623508169434</v>
      </c>
      <c r="E79" s="254">
        <f>E76-E77-E78</f>
        <v>24255.281045751635</v>
      </c>
      <c r="F79" s="253">
        <f>E79/E74</f>
        <v>0.33920623508169434</v>
      </c>
      <c r="G79" s="255"/>
      <c r="H79" s="254">
        <f>H76-H77-H78</f>
        <v>24255.281045751635</v>
      </c>
      <c r="I79" s="253">
        <f>H79/H74</f>
        <v>0.33920623508169434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126</v>
      </c>
    </row>
    <row r="81" spans="1:11" ht="15" customHeight="1" x14ac:dyDescent="0.4">
      <c r="B81" s="103" t="s">
        <v>238</v>
      </c>
      <c r="C81" s="77">
        <f>MAX(Data!C17,0)</f>
        <v>4046</v>
      </c>
      <c r="D81" s="156">
        <f>C81/$C$74</f>
        <v>5.6582664391799292E-2</v>
      </c>
      <c r="E81" s="177">
        <f>E74*F81</f>
        <v>4046</v>
      </c>
      <c r="F81" s="157">
        <f>I81</f>
        <v>5.6582664391799292E-2</v>
      </c>
      <c r="H81" s="233">
        <f>Inputs!F94</f>
        <v>4046</v>
      </c>
      <c r="I81" s="157">
        <f>H81/$H$74</f>
        <v>5.6582664391799292E-2</v>
      </c>
      <c r="K81" s="24"/>
    </row>
    <row r="82" spans="1:11" ht="15" customHeight="1" x14ac:dyDescent="0.4">
      <c r="B82" s="28" t="s">
        <v>229</v>
      </c>
      <c r="C82" s="77">
        <f>ABS(MAX(Data!C21,0)-MAX(Data!C19,0))</f>
        <v>409</v>
      </c>
      <c r="D82" s="156">
        <f>C82/$C$74</f>
        <v>5.719799737085E-3</v>
      </c>
      <c r="E82" s="233">
        <f>Inputs!E95</f>
        <v>409</v>
      </c>
      <c r="F82" s="157">
        <f>E82/E74</f>
        <v>5.719799737085E-3</v>
      </c>
      <c r="H82" s="233">
        <f>Inputs!F95</f>
        <v>409</v>
      </c>
      <c r="I82" s="157">
        <f>H82/$H$74</f>
        <v>5.719799737085E-3</v>
      </c>
      <c r="K82" s="24"/>
    </row>
    <row r="83" spans="1:11" ht="15" customHeight="1" thickBot="1" x14ac:dyDescent="0.45">
      <c r="B83" s="104" t="s">
        <v>120</v>
      </c>
      <c r="C83" s="160">
        <f>C79-C81-C82-C80</f>
        <v>19800.281045751635</v>
      </c>
      <c r="D83" s="161">
        <f>C83/$C$74</f>
        <v>0.27690377095281005</v>
      </c>
      <c r="E83" s="162">
        <f>E79-E81-E82-E80</f>
        <v>19800.281045751635</v>
      </c>
      <c r="F83" s="161">
        <f>E83/E74</f>
        <v>0.27690377095281005</v>
      </c>
      <c r="H83" s="162">
        <f>H79-H81-H82-H80</f>
        <v>19800.281045751635</v>
      </c>
      <c r="I83" s="161">
        <f>H83/$H$74</f>
        <v>0.27690377095281005</v>
      </c>
      <c r="K83" s="24"/>
    </row>
    <row r="84" spans="1:11" ht="15" customHeight="1" thickTop="1" x14ac:dyDescent="0.4">
      <c r="B84" s="28" t="s">
        <v>93</v>
      </c>
      <c r="C84" s="206"/>
      <c r="D84" s="156">
        <f>I84</f>
        <v>0.23499999999999999</v>
      </c>
      <c r="E84" s="207"/>
      <c r="F84" s="176">
        <f t="shared" ref="F84" si="3">I84</f>
        <v>0.23499999999999999</v>
      </c>
      <c r="H84" s="207"/>
      <c r="I84" s="199">
        <f>Inputs!C16</f>
        <v>0.23499999999999999</v>
      </c>
      <c r="K84" s="24"/>
    </row>
    <row r="85" spans="1:11" ht="15" customHeight="1" x14ac:dyDescent="0.4">
      <c r="B85" s="258" t="s">
        <v>156</v>
      </c>
      <c r="C85" s="252">
        <f>C83*(1-I84)</f>
        <v>15147.215000000002</v>
      </c>
      <c r="D85" s="253">
        <f>C85/$C$74</f>
        <v>0.21183138477889971</v>
      </c>
      <c r="E85" s="259">
        <f>E83*(1-F84)</f>
        <v>15147.215000000002</v>
      </c>
      <c r="F85" s="253">
        <f>E85/E74</f>
        <v>0.21183138477889971</v>
      </c>
      <c r="G85" s="255"/>
      <c r="H85" s="259">
        <f>H83*(1-I84)</f>
        <v>15147.215000000002</v>
      </c>
      <c r="I85" s="253">
        <f>H85/$H$74</f>
        <v>0.21183138477889971</v>
      </c>
      <c r="K85" s="24"/>
    </row>
    <row r="86" spans="1:11" ht="15" customHeight="1" x14ac:dyDescent="0.4">
      <c r="B86" s="86" t="s">
        <v>152</v>
      </c>
      <c r="C86" s="164">
        <f>C85*Data!C4/Common_Shares</f>
        <v>5.2271785876612675</v>
      </c>
      <c r="D86" s="204"/>
      <c r="E86" s="165">
        <f>E85*Data!C4/Common_Shares</f>
        <v>5.2271785876612675</v>
      </c>
      <c r="F86" s="204"/>
      <c r="H86" s="165">
        <f>H85*Data!C4/Common_Shares</f>
        <v>5.2271785876612675</v>
      </c>
      <c r="I86" s="204"/>
      <c r="K86" s="24"/>
    </row>
    <row r="87" spans="1:11" ht="15" customHeight="1" x14ac:dyDescent="0.4">
      <c r="B87" s="86" t="s">
        <v>194</v>
      </c>
      <c r="C87" s="256">
        <f>C86*Exchange_Rate/Dashboard!G3</f>
        <v>7.1999705064204791E-2</v>
      </c>
      <c r="D87" s="204"/>
      <c r="E87" s="257">
        <f>E86*Exchange_Rate/Dashboard!G3</f>
        <v>7.1999705064204791E-2</v>
      </c>
      <c r="F87" s="204"/>
      <c r="H87" s="257">
        <f>H86*Exchange_Rate/Dashboard!G3</f>
        <v>7.1999705064204791E-2</v>
      </c>
      <c r="I87" s="204"/>
      <c r="K87" s="24"/>
    </row>
    <row r="88" spans="1:11" ht="15" customHeight="1" x14ac:dyDescent="0.4">
      <c r="B88" s="85" t="s">
        <v>193</v>
      </c>
      <c r="C88" s="166">
        <f>Inputs!C44</f>
        <v>3.75</v>
      </c>
      <c r="D88" s="163">
        <f>C88/C86</f>
        <v>0.71740422430790074</v>
      </c>
      <c r="E88" s="167">
        <f>Inputs!E98</f>
        <v>3.75</v>
      </c>
      <c r="F88" s="163">
        <f>E88/E86</f>
        <v>0.71740422430790074</v>
      </c>
      <c r="H88" s="167">
        <f>Inputs!F98</f>
        <v>3.75</v>
      </c>
      <c r="I88" s="163">
        <f>H88/H86</f>
        <v>0.71740422430790074</v>
      </c>
      <c r="K88" s="24"/>
    </row>
    <row r="89" spans="1:11" ht="15" customHeight="1" x14ac:dyDescent="0.4">
      <c r="B89" s="86" t="s">
        <v>206</v>
      </c>
      <c r="C89" s="256">
        <f>C88*Exchange_Rate/Dashboard!G3</f>
        <v>5.1652892561983473E-2</v>
      </c>
      <c r="D89" s="204"/>
      <c r="E89" s="256">
        <f>E88*Exchange_Rate/Dashboard!G3</f>
        <v>5.1652892561983473E-2</v>
      </c>
      <c r="F89" s="204"/>
      <c r="H89" s="256">
        <f>H88*Exchange_Rate/Dashboard!G3</f>
        <v>5.1652892561983473E-2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5" t="str">
        <f>Inputs!C15</f>
        <v>HK</v>
      </c>
      <c r="D92" s="10" t="s">
        <v>148</v>
      </c>
      <c r="E92" s="298" t="s">
        <v>192</v>
      </c>
      <c r="F92" s="298"/>
      <c r="G92" s="86"/>
      <c r="H92" s="298" t="s">
        <v>191</v>
      </c>
      <c r="I92" s="298"/>
      <c r="K92" s="24"/>
    </row>
    <row r="93" spans="1:11" ht="15" customHeight="1" x14ac:dyDescent="0.4">
      <c r="B93" s="1" t="str">
        <f>C92&amp;" Discount Rate"</f>
        <v>HK Discount Rate</v>
      </c>
      <c r="C93" s="134">
        <f>IF(C92="CN",Dashboard!C17,IF(C92="US",Dashboard!C12,IF(C92="HK",Dashboard!D12,Dashboard!D17)))</f>
        <v>8.0625000000000002E-2</v>
      </c>
      <c r="D93" s="234">
        <f>Inputs!C86</f>
        <v>5</v>
      </c>
      <c r="E93" s="86" t="s">
        <v>195</v>
      </c>
      <c r="F93" s="142">
        <f>FV(E87,D93,0,-(E86/(C93-D94)))*Exchange_Rate</f>
        <v>122.06437052728623</v>
      </c>
      <c r="H93" s="86" t="s">
        <v>195</v>
      </c>
      <c r="I93" s="142">
        <f>FV(H87,D93,0,-(H86/(C93-D94)))*Exchange_Rate</f>
        <v>122.06437052728623</v>
      </c>
      <c r="K93" s="24"/>
    </row>
    <row r="94" spans="1:11" ht="15" customHeight="1" x14ac:dyDescent="0.4">
      <c r="B94" s="1" t="s">
        <v>197</v>
      </c>
      <c r="C94" s="179">
        <f>Dashboard!G20</f>
        <v>0.15</v>
      </c>
      <c r="D94" s="265">
        <f>Inputs!D87</f>
        <v>0.02</v>
      </c>
      <c r="E94" s="86" t="s">
        <v>196</v>
      </c>
      <c r="F94" s="142">
        <f>FV(E89,D93,0,-(E88/(C93-D94)))*Exchange_Rate</f>
        <v>79.568582193537992</v>
      </c>
      <c r="H94" s="86" t="s">
        <v>196</v>
      </c>
      <c r="I94" s="142">
        <f>FV(H89,D93,0,-(H88/(C93-D94)))*Exchange_Rate</f>
        <v>79.568582193537992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199</v>
      </c>
      <c r="E96" s="180" t="str">
        <f>E72</f>
        <v>Pessimistic Case</v>
      </c>
      <c r="F96" s="222" t="s">
        <v>222</v>
      </c>
      <c r="H96" s="180" t="str">
        <f>H72</f>
        <v>Base Case</v>
      </c>
      <c r="I96" s="122" t="s">
        <v>111</v>
      </c>
      <c r="K96" s="24"/>
    </row>
    <row r="97" spans="2:11" ht="15" customHeight="1" x14ac:dyDescent="0.4">
      <c r="B97" s="1" t="s">
        <v>125</v>
      </c>
      <c r="C97" s="90">
        <f>H97*Common_Shares/Data!C4</f>
        <v>175859.22941506238</v>
      </c>
      <c r="D97" s="208"/>
      <c r="E97" s="121">
        <f>PV(C94,D93,0,-F93)</f>
        <v>60.68756523499696</v>
      </c>
      <c r="F97" s="208"/>
      <c r="H97" s="121">
        <f>PV(C94,D93,0,-I93)</f>
        <v>60.68756523499696</v>
      </c>
      <c r="I97" s="121">
        <f>PV(C93,D93,0,-I93)</f>
        <v>82.834997365199087</v>
      </c>
      <c r="K97" s="24"/>
    </row>
    <row r="98" spans="2:11" ht="15" customHeight="1" x14ac:dyDescent="0.4">
      <c r="B98" s="28" t="s">
        <v>139</v>
      </c>
      <c r="C98" s="90">
        <f>-E53*Exchange_Rate</f>
        <v>-4354</v>
      </c>
      <c r="D98" s="208"/>
      <c r="E98" s="208"/>
      <c r="F98" s="208"/>
      <c r="H98" s="121">
        <f>C98*Data!$C$4/Common_Shares</f>
        <v>-1.5025293805281801</v>
      </c>
      <c r="I98" s="210"/>
      <c r="K98" s="24"/>
    </row>
    <row r="99" spans="2:11" ht="15" customHeight="1" thickBot="1" x14ac:dyDescent="0.45">
      <c r="B99" s="104" t="s">
        <v>140</v>
      </c>
      <c r="C99" s="107">
        <f>(E65+IF(E70&lt;0,E70,0))*Exchange_Rate</f>
        <v>-101168.1</v>
      </c>
      <c r="D99" s="209"/>
      <c r="E99" s="143">
        <f>IF(H99&gt;0,H99*(1-C94),H99*(1+C94))</f>
        <v>-40.149115529523407</v>
      </c>
      <c r="F99" s="209"/>
      <c r="H99" s="143">
        <f>C99*Data!$C$4/Common_Shares</f>
        <v>-34.912274373498619</v>
      </c>
      <c r="I99" s="211"/>
      <c r="K99" s="24"/>
    </row>
    <row r="100" spans="2:11" ht="15" customHeight="1" thickTop="1" x14ac:dyDescent="0.4">
      <c r="B100" s="1" t="s">
        <v>111</v>
      </c>
      <c r="C100" s="90">
        <f>C97+C98+$C$99</f>
        <v>70337.129415062373</v>
      </c>
      <c r="D100" s="108">
        <f>MIN(F100*(1-C94),E100)</f>
        <v>18.406189767514103</v>
      </c>
      <c r="E100" s="108">
        <f>MAX(E97+H98+E99,0)</f>
        <v>19.035920324945373</v>
      </c>
      <c r="F100" s="108">
        <f>(E100+H100)/2</f>
        <v>21.65434090295777</v>
      </c>
      <c r="H100" s="108">
        <f>MAX(C100*Data!$C$4/Common_Shares,0)</f>
        <v>24.272761480970168</v>
      </c>
      <c r="I100" s="108">
        <f>MAX(I97+H98+H99,0)</f>
        <v>46.420193611172294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5" t="str">
        <f>C96</f>
        <v>HKD</v>
      </c>
      <c r="D102" s="122" t="s">
        <v>199</v>
      </c>
      <c r="E102" s="180" t="str">
        <f>E96</f>
        <v>Pessimistic Case</v>
      </c>
      <c r="F102" s="222" t="s">
        <v>222</v>
      </c>
      <c r="H102" s="180" t="str">
        <f>H96</f>
        <v>Base Case</v>
      </c>
      <c r="I102" s="122" t="s">
        <v>111</v>
      </c>
      <c r="K102" s="24"/>
    </row>
    <row r="103" spans="2:11" ht="15" customHeight="1" x14ac:dyDescent="0.4">
      <c r="B103" s="1" t="s">
        <v>153</v>
      </c>
      <c r="C103" s="90">
        <f>H103*Common_Shares/Data!C4</f>
        <v>114635.16741010582</v>
      </c>
      <c r="D103" s="108">
        <f>MIN(F103*(1-C94),E103)</f>
        <v>33.625700738202326</v>
      </c>
      <c r="E103" s="121">
        <f>PV(C94,D93,0,-F94)</f>
        <v>39.559647927296858</v>
      </c>
      <c r="F103" s="108">
        <f>(E103+H103)/2</f>
        <v>39.559647927296858</v>
      </c>
      <c r="H103" s="121">
        <f>PV(C94,D93,0,-I94)</f>
        <v>39.559647927296858</v>
      </c>
      <c r="I103" s="108">
        <f>PV(C93,D93,0,-I94)</f>
        <v>53.996618897739552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5" t="str">
        <f>C102</f>
        <v>HKD</v>
      </c>
      <c r="D105" s="122" t="s">
        <v>199</v>
      </c>
      <c r="E105" s="181" t="str">
        <f>E96</f>
        <v>Pessimistic Case</v>
      </c>
      <c r="F105" s="222" t="s">
        <v>222</v>
      </c>
      <c r="H105" s="181" t="str">
        <f>H96</f>
        <v>Base Case</v>
      </c>
      <c r="I105" s="122" t="s">
        <v>111</v>
      </c>
      <c r="K105" s="24"/>
    </row>
    <row r="106" spans="2:11" ht="15" customHeight="1" x14ac:dyDescent="0.4">
      <c r="B106" s="1" t="s">
        <v>184</v>
      </c>
      <c r="C106" s="90">
        <f>E106*Common_Shares/Data!C4</f>
        <v>84898.540912584096</v>
      </c>
      <c r="D106" s="108">
        <f>(D100+D103)/2</f>
        <v>26.015945252858216</v>
      </c>
      <c r="E106" s="121">
        <f>(E100+E103)/2</f>
        <v>29.297784126121115</v>
      </c>
      <c r="F106" s="108">
        <f>(F100+F103)/2</f>
        <v>30.606994415127314</v>
      </c>
      <c r="H106" s="121">
        <f>(H100+H103)/2</f>
        <v>31.916204704133513</v>
      </c>
      <c r="I106" s="121">
        <f>(I100+I103)/2</f>
        <v>50.208406254455923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