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50693A2-129C-485A-B6E7-76B6A1D4B4C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B47" i="4"/>
  <c r="C49" i="3"/>
  <c r="E56" i="2"/>
  <c r="F56" i="2"/>
  <c r="I56" i="2"/>
  <c r="J56" i="2"/>
  <c r="M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F97" i="4"/>
  <c r="G56" i="2"/>
  <c r="L56" i="2"/>
  <c r="D56" i="2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<sst xmlns="http://schemas.openxmlformats.org/spreadsheetml/2006/main" count="392" uniqueCount="275">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</sst>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269</v>
      </c>
    </row>
    <row r="5" spans="1:5" ht="13.9" x14ac:dyDescent="0.4">
      <c r="B5" s="139" t="s">
        <v>181</v>
      </c>
      <c r="C5" s="188" t="s">
        <v>270</v>
      </c>
    </row>
    <row r="6" spans="1:5" ht="13.9" x14ac:dyDescent="0.4">
      <c r="B6" s="139" t="s">
        <v>155</v>
      </c>
      <c r="C6" s="186">
        <v>45603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271</v>
      </c>
    </row>
    <row r="10" spans="1:5" ht="13.9" x14ac:dyDescent="0.4">
      <c r="B10" s="138" t="s">
        <v>203</v>
      </c>
      <c r="C10" s="190">
        <v>4373586962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176</v>
      </c>
    </row>
    <row r="16" spans="1:5" ht="13.9" x14ac:dyDescent="0.4">
      <c r="B16" s="217" t="s">
        <v>93</v>
      </c>
      <c r="C16" s="218">
        <v>0.23499999999999999</v>
      </c>
      <c r="D16" s="24"/>
      <c r="E16" s="109" t="s">
        <v>268</v>
      </c>
    </row>
    <row r="17" spans="2:13" ht="13.9" x14ac:dyDescent="0.4">
      <c r="B17" s="235" t="s">
        <v>209</v>
      </c>
      <c r="C17" s="237" t="s">
        <v>272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272</v>
      </c>
      <c r="D19" s="24"/>
    </row>
    <row r="20" spans="2:13" ht="13.9" x14ac:dyDescent="0.4">
      <c r="B20" s="236" t="s">
        <v>213</v>
      </c>
      <c r="C20" s="237" t="s">
        <v>272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273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35684253</v>
      </c>
      <c r="D25" s="147">
        <v>11473793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16868997</v>
      </c>
      <c r="D26" s="148">
        <v>6522891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12529703</v>
      </c>
      <c r="D27" s="148">
        <v>8392476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46020</v>
      </c>
      <c r="D30" s="148">
        <v>-14407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0.5+0.3</f>
        <v>0.8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2.3323615160349857E-2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35684253</v>
      </c>
      <c r="D91" s="204"/>
      <c r="E91" s="246">
        <f>C91</f>
        <v>35684253</v>
      </c>
      <c r="F91" s="246">
        <f>C91</f>
        <v>35684253</v>
      </c>
    </row>
    <row r="92" spans="2:8" ht="13.9" x14ac:dyDescent="0.4">
      <c r="B92" s="103" t="s">
        <v>102</v>
      </c>
      <c r="C92" s="77">
        <f>C26</f>
        <v>16868997</v>
      </c>
      <c r="D92" s="156">
        <f>C92/C91</f>
        <v>0.47272944175123971</v>
      </c>
      <c r="E92" s="247">
        <f>E91*D92</f>
        <v>16868997</v>
      </c>
      <c r="F92" s="247">
        <f>F91*D92</f>
        <v>16868997</v>
      </c>
    </row>
    <row r="93" spans="2:8" ht="13.9" x14ac:dyDescent="0.4">
      <c r="B93" s="103" t="s">
        <v>230</v>
      </c>
      <c r="C93" s="77">
        <f>C27+C28</f>
        <v>12529703</v>
      </c>
      <c r="D93" s="156">
        <f>C93/C91</f>
        <v>0.35112695227219692</v>
      </c>
      <c r="E93" s="247">
        <f>E91*D93</f>
        <v>12529703</v>
      </c>
      <c r="F93" s="247">
        <f>F91*D93</f>
        <v>12529703</v>
      </c>
    </row>
    <row r="94" spans="2:8" ht="13.9" x14ac:dyDescent="0.4">
      <c r="B94" s="103" t="s">
        <v>238</v>
      </c>
      <c r="C94" s="77">
        <f>C29</f>
        <v>0</v>
      </c>
      <c r="D94" s="156">
        <f>C94/C91</f>
        <v>0</v>
      </c>
      <c r="E94" s="248"/>
      <c r="F94" s="247">
        <f>F91*D94</f>
        <v>0</v>
      </c>
    </row>
    <row r="95" spans="2:8" ht="13.9" x14ac:dyDescent="0.4">
      <c r="B95" s="28" t="s">
        <v>229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60156.862745098035</v>
      </c>
      <c r="D97" s="156">
        <f>C97/C91</f>
        <v>1.6858097812807804E-3</v>
      </c>
      <c r="E97" s="248"/>
      <c r="F97" s="247">
        <f>F91*D97</f>
        <v>60156.862745098035</v>
      </c>
    </row>
    <row r="98" spans="2:7" ht="13.9" x14ac:dyDescent="0.4">
      <c r="B98" s="85" t="s">
        <v>193</v>
      </c>
      <c r="C98" s="232">
        <f>C44</f>
        <v>0.8</v>
      </c>
      <c r="D98" s="261"/>
      <c r="E98" s="249">
        <f>F98</f>
        <v>0.5</v>
      </c>
      <c r="F98" s="249">
        <v>0.5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0027.HK</v>
      </c>
      <c r="D3" s="291"/>
      <c r="E3" s="86"/>
      <c r="F3" s="3" t="s">
        <v>1</v>
      </c>
      <c r="G3" s="130">
        <v>34.299999999999997</v>
      </c>
      <c r="H3" s="132" t="s">
        <v>274</v>
      </c>
    </row>
    <row r="4" spans="1:10" ht="15.75" customHeight="1" x14ac:dyDescent="0.4">
      <c r="B4" s="35" t="s">
        <v>181</v>
      </c>
      <c r="C4" s="292" t="str">
        <f>Inputs!C5</f>
        <v>銀河娛樂</v>
      </c>
      <c r="D4" s="293"/>
      <c r="E4" s="86"/>
      <c r="F4" s="3" t="s">
        <v>3</v>
      </c>
      <c r="G4" s="296">
        <f>Inputs!C10</f>
        <v>4373586962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45603</v>
      </c>
      <c r="D5" s="295"/>
      <c r="E5" s="34"/>
      <c r="F5" s="35" t="s">
        <v>96</v>
      </c>
      <c r="G5" s="288">
        <f>G3*G4/1000000</f>
        <v>150014.03279659999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C0011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249</v>
      </c>
      <c r="C20" s="271" t="e">
        <f>C21*C22*C23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0.17445779619528262</v>
      </c>
      <c r="F21" s="86"/>
      <c r="G21" s="29"/>
    </row>
    <row r="22" spans="1:8" ht="15.75" customHeight="1" x14ac:dyDescent="0.4">
      <c r="B22" s="273" t="s">
        <v>261</v>
      </c>
      <c r="C22" s="274" t="e">
        <f>Data!C48</f>
        <v>#DIV/0!</v>
      </c>
      <c r="F22" s="140" t="s">
        <v>171</v>
      </c>
    </row>
    <row r="23" spans="1:8" ht="15.75" customHeight="1" thickBot="1" x14ac:dyDescent="0.45">
      <c r="B23" s="275" t="s">
        <v>267</v>
      </c>
      <c r="C23" s="282" t="e">
        <f>1/Data!C53</f>
        <v>#DIV/0!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255</v>
      </c>
      <c r="C24" s="281">
        <f>Fin_Analysis!I81</f>
        <v>0</v>
      </c>
      <c r="F24" s="138" t="s">
        <v>240</v>
      </c>
      <c r="G24" s="263">
        <f>G3/(Fin_Analysis!H86*G7)</f>
        <v>31.499485426157236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162</v>
      </c>
      <c r="G25" s="168">
        <f>Fin_Analysis!I88</f>
        <v>0.45917617239296266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179</v>
      </c>
      <c r="G26" s="175">
        <f>Fin_Analysis!H88*Exchange_Rate/G3</f>
        <v>1.457725947521866E-2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8.8742929381270699</v>
      </c>
      <c r="D29" s="127">
        <f>G29*(1+G20)</f>
        <v>16.388032776546126</v>
      </c>
      <c r="E29" s="86"/>
      <c r="F29" s="129">
        <f>IF(Fin_Analysis!C108="Profit",Fin_Analysis!F100,IF(Fin_Analysis!C108="Dividend",Fin_Analysis!F103,Fin_Analysis!F106))</f>
        <v>10.440344633090671</v>
      </c>
      <c r="G29" s="287">
        <f>IF(Fin_Analysis!C108="Profit",Fin_Analysis!I100,IF(Fin_Analysis!C108="Dividend",Fin_Analysis!I103,Fin_Analysis!I106))</f>
        <v>14.250463283953154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6225396.1372549022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35684253</v>
      </c>
      <c r="D6" s="197">
        <f>IF(Inputs!D25="","",Inputs!D25)</f>
        <v>11473793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2.1100659563929729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16868997</v>
      </c>
      <c r="D8" s="196">
        <f>IF(Inputs!D26="","",Inputs!D26)</f>
        <v>6522891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18815256</v>
      </c>
      <c r="D9" s="149">
        <f t="shared" si="2"/>
        <v>4950902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12529703</v>
      </c>
      <c r="D10" s="196">
        <f>IF(Inputs!D27="","",Inputs!D27)</f>
        <v>8392476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60156.862745098035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0.17445779619528262</v>
      </c>
      <c r="D13" s="224">
        <f t="shared" si="3"/>
        <v>-0.29995085321828624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6225396.1372549022</v>
      </c>
      <c r="D14" s="225">
        <f t="shared" ref="D14:M14" si="4">IF(D6="","",D9-D10-MAX(D11,0)-MAX(D12,0))</f>
        <v>-3441574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 t="str">
        <f>IF(D14="","",IF(ABS(C14+D14)=ABS(C14)+ABS(D14),IF(C14&lt;0,-1,1)*(C14-D14)/D14,"Turn"))</f>
        <v>Turn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6225396.1372549022</v>
      </c>
      <c r="D22" s="158">
        <f t="shared" ref="D22:M22" si="8">IF(D6="","",D14-MAX(D16,0)-MAX(D17,0)-ABS(MAX(D21,0)-MAX(D19,0)))</f>
        <v>-3441574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0.13346021408939118</v>
      </c>
      <c r="D23" s="151">
        <f t="shared" si="9"/>
        <v>-0.22946240271198895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 t="str">
        <f>IF(D24="","",IF(ABS(C24+D24)=ABS(C24)+ABS(D24),IF(C24&lt;0,-1,1)*(C24-D24)/D24,"Turn"))</f>
        <v>Turn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0.47272944175123971</v>
      </c>
      <c r="D40" s="154">
        <f t="shared" si="34"/>
        <v>0.56850345827225579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0.35112695227219692</v>
      </c>
      <c r="D41" s="151">
        <f t="shared" si="35"/>
        <v>0.7314473949460305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1.6858097812807804E-3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0.17445779619528262</v>
      </c>
      <c r="D46" s="151">
        <f t="shared" si="40"/>
        <v>-0.29995085321828624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35684253</v>
      </c>
      <c r="D74" s="204"/>
      <c r="E74" s="233">
        <f>Inputs!E91</f>
        <v>35684253</v>
      </c>
      <c r="F74" s="204"/>
      <c r="H74" s="233">
        <f>Inputs!F91</f>
        <v>35684253</v>
      </c>
      <c r="I74" s="204"/>
      <c r="K74" s="24"/>
    </row>
    <row r="75" spans="1:11" ht="15" customHeight="1" x14ac:dyDescent="0.4">
      <c r="B75" s="103" t="s">
        <v>102</v>
      </c>
      <c r="C75" s="77">
        <f>Data!C8</f>
        <v>16868997</v>
      </c>
      <c r="D75" s="156">
        <f>C75/$C$74</f>
        <v>0.47272944175123971</v>
      </c>
      <c r="E75" s="233">
        <f>Inputs!E92</f>
        <v>16868997</v>
      </c>
      <c r="F75" s="157">
        <f>E75/E74</f>
        <v>0.47272944175123971</v>
      </c>
      <c r="H75" s="233">
        <f>Inputs!F92</f>
        <v>16868997</v>
      </c>
      <c r="I75" s="157">
        <f>H75/$H$74</f>
        <v>0.47272944175123971</v>
      </c>
      <c r="K75" s="24"/>
    </row>
    <row r="76" spans="1:11" ht="15" customHeight="1" x14ac:dyDescent="0.4">
      <c r="B76" s="35" t="s">
        <v>92</v>
      </c>
      <c r="C76" s="158">
        <f>C74-C75</f>
        <v>18815256</v>
      </c>
      <c r="D76" s="205"/>
      <c r="E76" s="159">
        <f>E74-E75</f>
        <v>18815256</v>
      </c>
      <c r="F76" s="205"/>
      <c r="H76" s="159">
        <f>H74-H75</f>
        <v>18815256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12529703</v>
      </c>
      <c r="D77" s="156">
        <f>C77/$C$74</f>
        <v>0.35112695227219692</v>
      </c>
      <c r="E77" s="233">
        <f>Inputs!E93</f>
        <v>12529703</v>
      </c>
      <c r="F77" s="157">
        <f>E77/E74</f>
        <v>0.35112695227219692</v>
      </c>
      <c r="H77" s="233">
        <f>Inputs!F93</f>
        <v>12529703</v>
      </c>
      <c r="I77" s="157">
        <f>H77/$H$74</f>
        <v>0.35112695227219692</v>
      </c>
      <c r="K77" s="24"/>
    </row>
    <row r="78" spans="1:11" ht="15" customHeight="1" x14ac:dyDescent="0.4">
      <c r="B78" s="73" t="s">
        <v>161</v>
      </c>
      <c r="C78" s="77">
        <f>MAX(Data!C12,0)</f>
        <v>60156.862745098035</v>
      </c>
      <c r="D78" s="156">
        <f>C78/$C$74</f>
        <v>1.6858097812807804E-3</v>
      </c>
      <c r="E78" s="177">
        <f>E74*F78</f>
        <v>60156.862745098035</v>
      </c>
      <c r="F78" s="157">
        <f>I78</f>
        <v>1.6858097812807804E-3</v>
      </c>
      <c r="H78" s="233">
        <f>Inputs!F97</f>
        <v>60156.862745098035</v>
      </c>
      <c r="I78" s="157">
        <f>H78/$H$74</f>
        <v>1.6858097812807804E-3</v>
      </c>
      <c r="K78" s="24"/>
    </row>
    <row r="79" spans="1:11" ht="15" customHeight="1" x14ac:dyDescent="0.4">
      <c r="B79" s="251" t="s">
        <v>217</v>
      </c>
      <c r="C79" s="252">
        <f>C76-C77-C78</f>
        <v>6225396.1372549022</v>
      </c>
      <c r="D79" s="253">
        <f>C79/C74</f>
        <v>0.17445779619528262</v>
      </c>
      <c r="E79" s="254">
        <f>E76-E77-E78</f>
        <v>6225396.1372549022</v>
      </c>
      <c r="F79" s="253">
        <f>E79/E74</f>
        <v>0.17445779619528262</v>
      </c>
      <c r="G79" s="255"/>
      <c r="H79" s="254">
        <f>H76-H77-H78</f>
        <v>6225396.1372549022</v>
      </c>
      <c r="I79" s="253">
        <f>H79/H74</f>
        <v>0.17445779619528262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0</v>
      </c>
      <c r="D81" s="156">
        <f>C81/$C$74</f>
        <v>0</v>
      </c>
      <c r="E81" s="177">
        <f>E74*F81</f>
        <v>0</v>
      </c>
      <c r="F81" s="157">
        <f>I81</f>
        <v>0</v>
      </c>
      <c r="H81" s="233">
        <f>Inputs!F94</f>
        <v>0</v>
      </c>
      <c r="I81" s="157">
        <f>H81/$H$74</f>
        <v>0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6225396.1372549022</v>
      </c>
      <c r="D83" s="161">
        <f>C83/$C$74</f>
        <v>0.17445779619528262</v>
      </c>
      <c r="E83" s="162">
        <f>E79-E81-E82-E80</f>
        <v>6225396.1372549022</v>
      </c>
      <c r="F83" s="161">
        <f>E83/E74</f>
        <v>0.17445779619528262</v>
      </c>
      <c r="H83" s="162">
        <f>H79-H81-H82-H80</f>
        <v>6225396.1372549022</v>
      </c>
      <c r="I83" s="161">
        <f>H83/$H$74</f>
        <v>0.17445779619528262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0.23499999999999999</v>
      </c>
      <c r="E84" s="207"/>
      <c r="F84" s="176">
        <f t="shared" ref="F84" si="3">I84</f>
        <v>0.23499999999999999</v>
      </c>
      <c r="H84" s="207"/>
      <c r="I84" s="199">
        <f>Inputs!C16</f>
        <v>0.23499999999999999</v>
      </c>
      <c r="K84" s="24"/>
    </row>
    <row r="85" spans="1:11" ht="15" customHeight="1" x14ac:dyDescent="0.4">
      <c r="B85" s="258" t="s">
        <v>156</v>
      </c>
      <c r="C85" s="252">
        <f>C83*(1-I84)</f>
        <v>4762428.0449999999</v>
      </c>
      <c r="D85" s="253">
        <f>C85/$C$74</f>
        <v>0.13346021408939118</v>
      </c>
      <c r="E85" s="259">
        <f>E83*(1-F84)</f>
        <v>4762428.0449999999</v>
      </c>
      <c r="F85" s="253">
        <f>E85/E74</f>
        <v>0.13346021408939118</v>
      </c>
      <c r="G85" s="255"/>
      <c r="H85" s="259">
        <f>H83*(1-I84)</f>
        <v>4762428.0449999999</v>
      </c>
      <c r="I85" s="253">
        <f>H85/$H$74</f>
        <v>0.13346021408939118</v>
      </c>
      <c r="K85" s="24"/>
    </row>
    <row r="86" spans="1:11" ht="15" customHeight="1" x14ac:dyDescent="0.4">
      <c r="B86" s="86" t="s">
        <v>152</v>
      </c>
      <c r="C86" s="164">
        <f>C85*Data!C4/Common_Shares</f>
        <v>1.0889066769172429</v>
      </c>
      <c r="D86" s="204"/>
      <c r="E86" s="165">
        <f>E85*Data!C4/Common_Shares</f>
        <v>1.0889066769172429</v>
      </c>
      <c r="F86" s="204"/>
      <c r="H86" s="165">
        <f>H85*Data!C4/Common_Shares</f>
        <v>1.0889066769172429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3.1746550347441484E-2</v>
      </c>
      <c r="D87" s="204"/>
      <c r="E87" s="257">
        <f>E86*Exchange_Rate/Dashboard!G3</f>
        <v>3.1746550347441484E-2</v>
      </c>
      <c r="F87" s="204"/>
      <c r="H87" s="257">
        <f>H86*Exchange_Rate/Dashboard!G3</f>
        <v>3.1746550347441484E-2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0.8</v>
      </c>
      <c r="D88" s="163">
        <f>C88/C86</f>
        <v>0.73468187582874034</v>
      </c>
      <c r="E88" s="167">
        <f>Inputs!E98</f>
        <v>0.5</v>
      </c>
      <c r="F88" s="163">
        <f>E88/E86</f>
        <v>0.45917617239296266</v>
      </c>
      <c r="H88" s="167">
        <f>Inputs!F98</f>
        <v>0.5</v>
      </c>
      <c r="I88" s="163">
        <f>H88/H86</f>
        <v>0.45917617239296266</v>
      </c>
      <c r="K88" s="24"/>
    </row>
    <row r="89" spans="1:11" ht="15" customHeight="1" x14ac:dyDescent="0.4">
      <c r="B89" s="86" t="s">
        <v>206</v>
      </c>
      <c r="C89" s="256">
        <f>C88*Exchange_Rate/Dashboard!G3</f>
        <v>2.3323615160349857E-2</v>
      </c>
      <c r="D89" s="204"/>
      <c r="E89" s="256">
        <f>E88*Exchange_Rate/Dashboard!G3</f>
        <v>1.457725947521866E-2</v>
      </c>
      <c r="F89" s="204"/>
      <c r="H89" s="256">
        <f>H88*Exchange_Rate/Dashboard!G3</f>
        <v>1.457725947521866E-2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20.999262217743965</v>
      </c>
      <c r="H93" s="86" t="s">
        <v>195</v>
      </c>
      <c r="I93" s="142">
        <f>FV(H87,D93,0,-(H86/(C93-D94)))*Exchange_Rate</f>
        <v>20.999262217743965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8.8663296075173825</v>
      </c>
      <c r="H94" s="86" t="s">
        <v>196</v>
      </c>
      <c r="I94" s="142">
        <f>FV(H89,D93,0,-(H88/(C93-D94)))*Exchange_Rate</f>
        <v>8.8663296075173825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45661755.166072026</v>
      </c>
      <c r="D97" s="208"/>
      <c r="E97" s="121">
        <f>PV(C94,D93,0,-F93)</f>
        <v>10.440344633090671</v>
      </c>
      <c r="F97" s="208"/>
      <c r="H97" s="121">
        <f>PV(C94,D93,0,-I93)</f>
        <v>10.440344633090671</v>
      </c>
      <c r="I97" s="121">
        <f>PV(C93,D93,0,-I93)</f>
        <v>14.250463283953154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45661755.166072026</v>
      </c>
      <c r="D100" s="108">
        <f>MIN(F100*(1-C94),E100)</f>
        <v>8.8742929381270699</v>
      </c>
      <c r="E100" s="108">
        <f>MAX(E97+H98+E99,0)</f>
        <v>10.440344633090671</v>
      </c>
      <c r="F100" s="108">
        <f>(E100+H100)/2</f>
        <v>10.440344633090671</v>
      </c>
      <c r="H100" s="108">
        <f>MAX(C100*Data!$C$4/Common_Shares,0)</f>
        <v>10.440344633090671</v>
      </c>
      <c r="I100" s="108">
        <f>MAX(I97+H98+H99,0)</f>
        <v>14.250463283953154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19279352.177338026</v>
      </c>
      <c r="D103" s="108">
        <f>MIN(F103*(1-C94),E103)</f>
        <v>3.7469128870924511</v>
      </c>
      <c r="E103" s="121">
        <f>PV(C94,D93,0,-F94)</f>
        <v>4.4081328083440603</v>
      </c>
      <c r="F103" s="108">
        <f>(E103+H103)/2</f>
        <v>4.4081328083440603</v>
      </c>
      <c r="H103" s="121">
        <f>PV(C94,D93,0,-I94)</f>
        <v>4.4081328083440603</v>
      </c>
      <c r="I103" s="108">
        <f>PV(C93,D93,0,-I94)</f>
        <v>6.0168449360373506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32470553.67170503</v>
      </c>
      <c r="D106" s="108">
        <f>(D100+D103)/2</f>
        <v>6.3106029126097605</v>
      </c>
      <c r="E106" s="121">
        <f>(E100+E103)/2</f>
        <v>7.4242387207173657</v>
      </c>
      <c r="F106" s="108">
        <f>(F100+F103)/2</f>
        <v>7.4242387207173657</v>
      </c>
      <c r="H106" s="121">
        <f>(H100+H103)/2</f>
        <v>7.4242387207173657</v>
      </c>
      <c r="I106" s="121">
        <f>(I100+I103)/2</f>
        <v>10.133654109995252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