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B642194-D571-4BCE-966F-6ABFF316626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E95" i="4"/>
  <c r="F93" i="4"/>
  <c r="E93" i="4"/>
  <c r="F92" i="4"/>
  <c r="E92" i="4"/>
  <c r="F91" i="4"/>
  <c r="F96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C37" i="4"/>
  <c r="B47" i="4" s="1"/>
  <c r="H32" i="4"/>
  <c r="G32" i="4"/>
  <c r="F32" i="4"/>
  <c r="E32" i="4"/>
  <c r="H31" i="4"/>
  <c r="G31" i="4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F95" i="4"/>
  <c r="D53" i="4"/>
  <c r="H56" i="2"/>
  <c r="G56" i="2"/>
  <c r="F56" i="2"/>
  <c r="M56" i="2"/>
  <c r="E56" i="2"/>
  <c r="L56" i="2"/>
  <c r="D56" i="2"/>
  <c r="K56" i="2"/>
  <c r="C49" i="3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<sst xmlns="http://schemas.openxmlformats.org/spreadsheetml/2006/main" count="392" uniqueCount="277">
  <si>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</si>
  <si>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</si>
  <si>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</si>
  <si>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</si>
  <si>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</si>
  <si>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</si>
  <si>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</si>
  <si>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</si>
  <si>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</si>
  <si>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</si>
  <si>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</si>
  <si>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</si>
  <si>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</si>
  <si>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</si>
  <si>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</si>
  <si>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</si>
  <si>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</si>
  <si>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</si>
  <si>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</si>
  <si>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</si>
  <si>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</si>
  <si>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</si>
  <si>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</si>
  <si>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</si>
  <si>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</si>
  <si>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</si>
  <si>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</si>
  <si>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</si>
  <si>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</si>
  <si>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</si>
  <si>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</si>
  <si>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</si>
  <si>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</si>
  <si>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</si>
  <si>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</si>
  <si>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</si>
  <si>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</si>
  <si>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</si>
  <si>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</si>
  <si>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</si>
  <si>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</si>
  <si>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</si>
  <si>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</si>
  <si>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</si>
  <si>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</si>
  <si>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</si>
  <si>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</si>
  <si>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</si>
  <si>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</si>
  <si>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</si>
  <si>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</si>
  <si>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</si>
  <si>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</si>
  <si>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</si>
  <si>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</si>
  <si>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</si>
  <si>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</si>
  <si>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</si>
  <si>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</si>
  <si>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</si>
  <si>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</si>
  <si>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</si>
  <si>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</si>
  <si>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</si>
  <si>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</si>
  <si>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</si>
  <si>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</si>
  <si>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</si>
  <si>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</si>
  <si>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</si>
  <si>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</si>
  <si>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</si>
  <si>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</si>
  <si>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</si>
  <si>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</si>
  <si>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</si>
  <si>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</si>
  <si>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</si>
  <si>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</si>
  <si>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</si>
  <si>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</si>
  <si>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</si>
  <si>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</si>
  <si>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</si>
  <si>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</si>
  <si>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</si>
  <si>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</si>
  <si>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</si>
  <si>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</si>
  <si>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</si>
  <si>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</si>
  <si>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</si>
  <si>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</si>
  <si>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</si>
  <si>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</si>
  <si>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</si>
  <si>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</si>
  <si>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</si>
  <si>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</si>
  <si>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</si>
  <si>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</si>
  <si>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</si>
  <si>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</si>
  <si>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</si>
  <si>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</si>
  <si>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</si>
  <si>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</si>
  <si>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</si>
  <si>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</si>
  <si>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</si>
  <si>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</si>
  <si>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</si>
  <si>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</si>
  <si>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</si>
  <si>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</si>
  <si>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</si>
  <si>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</si>
  <si>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</si>
  <si>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</si>
  <si>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</si>
  <si>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</si>
  <si>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</si>
  <si>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</si>
  <si>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</si>
  <si>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</si>
  <si>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</si>
  <si>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</si>
  <si>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</si>
  <si>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</si>
  <si>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</si>
  <si>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</si>
  <si>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</si>
  <si>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</si>
  <si>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</si>
  <si>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</si>
  <si>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</si>
  <si>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</si>
  <si>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</si>
  <si>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</si>
  <si>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</si>
  <si>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</si>
  <si>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</si>
  <si>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</si>
  <si>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</si>
  <si>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</si>
  <si>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</si>
  <si>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</si>
  <si>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</si>
  <si>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</si>
  <si>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</si>
  <si>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</si>
  <si>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</si>
  <si>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</si>
  <si>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</si>
  <si>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</si>
  <si>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</si>
  <si>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</si>
  <si>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</si>
  <si>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</si>
  <si>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</si>
  <si>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</si>
  <si>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</si>
  <si>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</si>
  <si>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</si>
  <si>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</si>
  <si>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</si>
  <si>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</si>
  <si>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</si>
  <si>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</si>
  <si>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</si>
  <si>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</si>
  <si>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</si>
  <si>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</si>
  <si>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</si>
  <si>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</si>
  <si>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</si>
  <si>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</si>
  <si>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</si>
  <si>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</si>
  <si>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</si>
  <si>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</si>
  <si>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</si>
  <si>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</si>
  <si>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</si>
  <si>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</si>
  <si>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</si>
  <si>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</si>
  <si>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</si>
  <si>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</si>
  <si>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</si>
  <si>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</si>
  <si>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</si>
  <si>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</si>
  <si>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</si>
  <si>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</si>
  <si>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</si>
  <si>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</si>
  <si>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</si>
  <si>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</si>
  <si>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</si>
  <si>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</si>
  <si>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</si>
  <si>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</si>
  <si>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</si>
  <si>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</si>
  <si>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</si>
  <si>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</si>
  <si>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</si>
  <si>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</si>
  <si>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</si>
  <si>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</si>
  <si>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</si>
  <si>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</si>
  <si>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</si>
  <si>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</si>
  <si>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</si>
  <si>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</si>
  <si>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</si>
  <si>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</si>
  <si>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</si>
  <si>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</si>
  <si>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</si>
  <si>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</si>
  <si>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</si>
  <si>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</si>
  <si>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</si>
  <si>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</si>
  <si>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</si>
  <si>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</si>
  <si>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</si>
  <si>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</si>
  <si>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</si>
  <si>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</si>
  <si>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</si>
  <si>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</si>
  <si>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</si>
  <si>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</si>
  <si>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</si>
  <si>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</si>
  <si>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</si>
  <si>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</si>
  <si>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</si>
  <si>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</si>
  <si>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</si>
  <si>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</si>
  <si>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</si>
  <si>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</si>
  <si>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</si>
  <si>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</si>
  <si>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</si>
  <si>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</si>
  <si>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</si>
  <si>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</si>
  <si>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</si>
  <si>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</si>
  <si>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</si>
  <si>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</si>
  <si>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</si>
  <si>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</si>
  <si>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</si>
  <si>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</si>
  <si>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</si>
  <si>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</si>
  <si>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</si>
  <si>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</si>
  <si>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</si>
  <si>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</si>
  <si>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0179.HK</t>
  </si>
  <si>
    <t>德昌電機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</si>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</sst>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45593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934412034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45382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45565</v>
      </c>
    </row>
    <row r="15" spans="1:5" ht="13.9" x14ac:dyDescent="0.4">
      <c r="B15" s="213" t="s">
        <v>235</v>
      </c>
      <c r="C15" s="173" t="s">
        <v>175</v>
      </c>
    </row>
    <row r="16" spans="1:5" ht="13.9" x14ac:dyDescent="0.4">
      <c r="B16" s="217" t="s">
        <v>92</v>
      </c>
      <c r="C16" s="218">
        <v>0.25</v>
      </c>
      <c r="D16" s="24"/>
      <c r="E16" s="109" t="s">
        <v>266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3" t="s">
        <v>11</v>
      </c>
      <c r="C25" s="147">
        <v>3814213</v>
      </c>
      <c r="D25" s="147">
        <v>3646119</v>
      </c>
      <c r="E25" s="147">
        <v>3446055</v>
      </c>
      <c r="F25" s="147">
        <v>3156163</v>
      </c>
      <c r="G25" s="147">
        <v>3070485</v>
      </c>
      <c r="H25" s="147">
        <v>3280381</v>
      </c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2963493</v>
      </c>
      <c r="D26" s="148">
        <v>2930208</v>
      </c>
      <c r="E26" s="148">
        <v>2744148</v>
      </c>
      <c r="F26" s="148">
        <v>2432869</v>
      </c>
      <c r="G26" s="148">
        <v>2398222</v>
      </c>
      <c r="H26" s="148">
        <v>2528935</v>
      </c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541794</v>
      </c>
      <c r="D27" s="148">
        <v>556427</v>
      </c>
      <c r="E27" s="148">
        <v>543403</v>
      </c>
      <c r="F27" s="148">
        <v>467260</v>
      </c>
      <c r="G27" s="148">
        <v>452634</v>
      </c>
      <c r="H27" s="148">
        <v>486140</v>
      </c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31560</v>
      </c>
      <c r="D29" s="148">
        <v>21677</v>
      </c>
      <c r="E29" s="148">
        <v>20063</v>
      </c>
      <c r="F29" s="148">
        <v>13516</v>
      </c>
      <c r="G29" s="148">
        <v>19614</v>
      </c>
      <c r="H29" s="148">
        <v>18362</v>
      </c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3110</v>
      </c>
      <c r="D30" s="148">
        <v>3460</v>
      </c>
      <c r="E30" s="148">
        <v>5843</v>
      </c>
      <c r="F30" s="148">
        <v>7158</v>
      </c>
      <c r="G30" s="148">
        <v>6786</v>
      </c>
      <c r="H30" s="148">
        <v>8330</v>
      </c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v>-70259</v>
      </c>
      <c r="D31" s="148">
        <v>-27525</v>
      </c>
      <c r="E31" s="148">
        <v>233698</v>
      </c>
      <c r="F31" s="148">
        <v>42431</v>
      </c>
      <c r="G31" s="148">
        <f>-81917</f>
        <v>-81917</v>
      </c>
      <c r="H31" s="148">
        <f>-17970</f>
        <v>-17970</v>
      </c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274900</v>
      </c>
      <c r="D32" s="148">
        <v>274200</v>
      </c>
      <c r="E32" s="148">
        <f>248096+35189</f>
        <v>283285</v>
      </c>
      <c r="F32" s="148">
        <f>219704+31327</f>
        <v>251031</v>
      </c>
      <c r="G32" s="148">
        <f>203765+41376</f>
        <v>245141</v>
      </c>
      <c r="H32" s="148">
        <f>162220+42152</f>
        <v>204372</v>
      </c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184900</v>
      </c>
      <c r="D33" s="148">
        <v>226600</v>
      </c>
      <c r="E33" s="148">
        <v>316400</v>
      </c>
      <c r="F33" s="148">
        <v>263600</v>
      </c>
      <c r="G33" s="148">
        <v>282100</v>
      </c>
      <c r="H33" s="148">
        <v>391400</v>
      </c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>
        <f>1297633+560730</f>
        <v>1858363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2677574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44886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0.0564+0.0218</f>
        <v>7.8199999999999992E-2</v>
      </c>
      <c r="D44" s="245">
        <f>0.0436+0.0218</f>
        <v>6.54E-2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5.5749663857509589E-2</v>
      </c>
      <c r="D45" s="150">
        <f>IF(D44="","",D44*Exchange_Rate/Dashboard!$G$3)</f>
        <v>4.6624399185180659E-2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687658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v>788933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6517</v>
      </c>
      <c r="D51" s="60">
        <v>0.6</v>
      </c>
      <c r="E51" s="111"/>
    </row>
    <row r="52" spans="2:5" ht="13.9" x14ac:dyDescent="0.4">
      <c r="B52" s="3" t="s">
        <v>39</v>
      </c>
      <c r="C52" s="59">
        <v>4993</v>
      </c>
      <c r="D52" s="60">
        <v>0.5</v>
      </c>
      <c r="E52" s="111"/>
    </row>
    <row r="53" spans="2:5" ht="13.9" x14ac:dyDescent="0.4">
      <c r="B53" s="1" t="s">
        <v>149</v>
      </c>
      <c r="C53" s="59">
        <v>65078</v>
      </c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>
        <v>589038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>
        <v>8754</v>
      </c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>
        <v>23429</v>
      </c>
      <c r="D61" s="60">
        <f>D51</f>
        <v>0.6</v>
      </c>
      <c r="E61" s="111"/>
    </row>
    <row r="62" spans="2:5" ht="13.9" x14ac:dyDescent="0.4">
      <c r="B62" s="3" t="s">
        <v>60</v>
      </c>
      <c r="C62" s="59">
        <v>19731</v>
      </c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v>2308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v>17334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1508433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172447</v>
      </c>
      <c r="D70" s="60">
        <v>0.05</v>
      </c>
      <c r="E70" s="111"/>
    </row>
    <row r="71" spans="2:5" ht="13.9" x14ac:dyDescent="0.4">
      <c r="B71" s="3" t="s">
        <v>70</v>
      </c>
      <c r="C71" s="59">
        <v>92250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30260</v>
      </c>
      <c r="D72" s="243">
        <v>0</v>
      </c>
      <c r="E72" s="244"/>
    </row>
    <row r="73" spans="2:5" ht="13.9" x14ac:dyDescent="0.4">
      <c r="B73" s="3" t="s">
        <v>34</v>
      </c>
      <c r="C73" s="59">
        <v>14082</v>
      </c>
    </row>
    <row r="74" spans="2:5" ht="13.9" x14ac:dyDescent="0.4">
      <c r="B74" s="3" t="s">
        <v>35</v>
      </c>
      <c r="C74" s="59">
        <v>16276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>
        <v>3782</v>
      </c>
    </row>
    <row r="77" spans="2:5" ht="14.25" thickBot="1" x14ac:dyDescent="0.45">
      <c r="B77" s="80" t="s">
        <v>15</v>
      </c>
      <c r="C77" s="82">
        <v>1297633</v>
      </c>
    </row>
    <row r="78" spans="2:5" ht="14.25" thickTop="1" x14ac:dyDescent="0.4">
      <c r="B78" s="3" t="s">
        <v>57</v>
      </c>
      <c r="C78" s="59">
        <v>342402</v>
      </c>
    </row>
    <row r="79" spans="2:5" ht="13.9" x14ac:dyDescent="0.4">
      <c r="B79" s="3" t="s">
        <v>59</v>
      </c>
      <c r="C79" s="59">
        <v>51938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45382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3814213</v>
      </c>
      <c r="D91" s="204"/>
      <c r="E91" s="246">
        <f>C91</f>
        <v>3814213</v>
      </c>
      <c r="F91" s="246">
        <f>C91</f>
        <v>3814213</v>
      </c>
    </row>
    <row r="92" spans="2:8" ht="13.9" x14ac:dyDescent="0.4">
      <c r="B92" s="103" t="s">
        <v>101</v>
      </c>
      <c r="C92" s="77">
        <f>C26</f>
        <v>2963493</v>
      </c>
      <c r="D92" s="156">
        <f>C92/C91</f>
        <v>0.77696054205677556</v>
      </c>
      <c r="E92" s="247">
        <f>E91*78.5%</f>
        <v>2994157.2050000001</v>
      </c>
      <c r="F92" s="247">
        <f>F91*78%</f>
        <v>2975086.14</v>
      </c>
    </row>
    <row r="93" spans="2:8" ht="13.9" x14ac:dyDescent="0.4">
      <c r="B93" s="103" t="s">
        <v>229</v>
      </c>
      <c r="C93" s="77">
        <f>C27+C28</f>
        <v>541794</v>
      </c>
      <c r="D93" s="156">
        <f>C93/C91</f>
        <v>0.14204607870614464</v>
      </c>
      <c r="E93" s="247">
        <f>E91*15%</f>
        <v>572131.94999999995</v>
      </c>
      <c r="F93" s="247">
        <f>F91*14.75%</f>
        <v>562596.41749999998</v>
      </c>
    </row>
    <row r="94" spans="2:8" ht="13.9" x14ac:dyDescent="0.4">
      <c r="B94" s="103" t="s">
        <v>236</v>
      </c>
      <c r="C94" s="77">
        <f>C29</f>
        <v>31560</v>
      </c>
      <c r="D94" s="156">
        <f>C94/C91</f>
        <v>8.274315042185636E-3</v>
      </c>
      <c r="E94" s="248"/>
      <c r="F94" s="247">
        <f>F91*D94</f>
        <v>31560</v>
      </c>
    </row>
    <row r="95" spans="2:8" ht="13.9" x14ac:dyDescent="0.4">
      <c r="B95" s="28" t="s">
        <v>228</v>
      </c>
      <c r="C95" s="77">
        <f>ABS(MAX(C33,0)-C32)</f>
        <v>90000</v>
      </c>
      <c r="D95" s="156">
        <f>C95/C91</f>
        <v>2.3595955443495159E-2</v>
      </c>
      <c r="E95" s="247">
        <f>E91*D95</f>
        <v>90000</v>
      </c>
      <c r="F95" s="247">
        <f>F91*D95*0.8</f>
        <v>72000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4146.666666666667</v>
      </c>
      <c r="D97" s="156">
        <f>C97/C91</f>
        <v>1.0871617989521474E-3</v>
      </c>
      <c r="E97" s="248"/>
      <c r="F97" s="247">
        <f>F91*D97</f>
        <v>4146.666666666667</v>
      </c>
    </row>
    <row r="98" spans="2:7" ht="13.9" x14ac:dyDescent="0.4">
      <c r="B98" s="85" t="s">
        <v>192</v>
      </c>
      <c r="C98" s="232">
        <f>C44</f>
        <v>7.8199999999999992E-2</v>
      </c>
      <c r="D98" s="261"/>
      <c r="E98" s="249">
        <f>F98</f>
        <v>7.8199999999999992E-2</v>
      </c>
      <c r="F98" s="249">
        <f>C98</f>
        <v>7.8199999999999992E-2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0179.HK : 德昌電機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0179.HK</v>
      </c>
      <c r="D3" s="291"/>
      <c r="E3" s="86"/>
      <c r="F3" s="3" t="s">
        <v>1</v>
      </c>
      <c r="G3" s="130">
        <v>10.9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德昌電機</v>
      </c>
      <c r="D4" s="293"/>
      <c r="E4" s="86"/>
      <c r="F4" s="3" t="s">
        <v>2</v>
      </c>
      <c r="G4" s="296">
        <f>Inputs!C10</f>
        <v>934412034</v>
      </c>
      <c r="H4" s="296"/>
      <c r="I4" s="39"/>
    </row>
    <row r="5" spans="1:10" ht="15.75" customHeight="1" x14ac:dyDescent="0.4">
      <c r="B5" s="3" t="s">
        <v>154</v>
      </c>
      <c r="C5" s="294">
        <f>Inputs!C6</f>
        <v>45593</v>
      </c>
      <c r="D5" s="295"/>
      <c r="E5" s="34"/>
      <c r="F5" s="35" t="s">
        <v>95</v>
      </c>
      <c r="G5" s="288">
        <f>G3*G4/1000000</f>
        <v>10185.091170600001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89" t="str">
        <f>Inputs!C11</f>
        <v>USD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C0006</v>
      </c>
      <c r="E7" s="86"/>
      <c r="F7" s="35" t="s">
        <v>5</v>
      </c>
      <c r="G7" s="131">
        <v>7.7707331975301104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>
        <f>C21*C22*C23</f>
        <v>0.11576735767144959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7.9906217438127689E-2</v>
      </c>
      <c r="F21" s="86"/>
      <c r="G21" s="29"/>
    </row>
    <row r="22" spans="1:8" ht="15.75" customHeight="1" x14ac:dyDescent="0.4">
      <c r="B22" s="273" t="s">
        <v>259</v>
      </c>
      <c r="C22" s="274">
        <f>Data!C48</f>
        <v>0.84088756082811555</v>
      </c>
      <c r="F22" s="140" t="s">
        <v>170</v>
      </c>
    </row>
    <row r="23" spans="1:8" ht="15.75" customHeight="1" thickBot="1" x14ac:dyDescent="0.45">
      <c r="B23" s="275" t="s">
        <v>265</v>
      </c>
      <c r="C23" s="282">
        <f>1/Data!C53</f>
        <v>1.7229299484025451</v>
      </c>
      <c r="F23" s="138" t="s">
        <v>174</v>
      </c>
      <c r="G23" s="174">
        <f>G3/(Data!C34*Data!C4/Common_Shares*Exchange_Rate)</f>
        <v>0.4895098561252002</v>
      </c>
    </row>
    <row r="24" spans="1:8" ht="15.75" customHeight="1" x14ac:dyDescent="0.4">
      <c r="B24" s="280" t="s">
        <v>253</v>
      </c>
      <c r="C24" s="281">
        <f>Fin_Analysis!I81</f>
        <v>8.274315042185636E-3</v>
      </c>
      <c r="F24" s="138" t="s">
        <v>238</v>
      </c>
      <c r="G24" s="263">
        <f>G3/(Fin_Analysis!H86*G7)</f>
        <v>10.351613545227416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0.57709897552927159</v>
      </c>
    </row>
    <row r="26" spans="1:8" ht="15.75" customHeight="1" x14ac:dyDescent="0.4">
      <c r="B26" s="136" t="s">
        <v>255</v>
      </c>
      <c r="C26" s="168">
        <f>Fin_Analysis!I80+Fin_Analysis!I82</f>
        <v>1.8876764354796127E-2</v>
      </c>
      <c r="F26" s="139" t="s">
        <v>178</v>
      </c>
      <c r="G26" s="175">
        <f>Fin_Analysis!H88*Exchange_Rate/G3</f>
        <v>5.5749663857509589E-2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237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6.2654733750983063</v>
      </c>
      <c r="D29" s="127">
        <f>G29*(1+G20)</f>
        <v>14.954407483685262</v>
      </c>
      <c r="E29" s="86"/>
      <c r="F29" s="129">
        <f>IF(Fin_Analysis!C108="Profit",Fin_Analysis!F100,IF(Fin_Analysis!C108="Dividend",Fin_Analysis!F103,Fin_Analysis!F106))</f>
        <v>8.0340576549738572</v>
      </c>
      <c r="G29" s="287">
        <f>IF(Fin_Analysis!C108="Profit",Fin_Analysis!I100,IF(Fin_Analysis!C108="Dividend",Fin_Analysis!I103,Fin_Analysis!I106))</f>
        <v>13.003832594508925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45382</v>
      </c>
      <c r="E3" s="144" t="s">
        <v>185</v>
      </c>
      <c r="F3" s="84">
        <f>H14</f>
        <v>254199.33333333334</v>
      </c>
      <c r="G3" s="84">
        <f>C14</f>
        <v>304779.33333333331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USD</v>
      </c>
      <c r="E4" s="144" t="s">
        <v>186</v>
      </c>
      <c r="F4" s="92">
        <f>(G3/F3)^(1/H3)-1</f>
        <v>3.0706902789447099E-2</v>
      </c>
      <c r="J4" s="86"/>
    </row>
    <row r="5" spans="1:14" ht="15.75" customHeight="1" x14ac:dyDescent="0.4">
      <c r="A5" s="16"/>
      <c r="B5" s="114" t="s">
        <v>127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3" t="s">
        <v>11</v>
      </c>
      <c r="C6" s="197">
        <f>IF(Inputs!C25=""," ",Inputs!C25)</f>
        <v>3814213</v>
      </c>
      <c r="D6" s="197">
        <f>IF(Inputs!D25="","",Inputs!D25)</f>
        <v>3646119</v>
      </c>
      <c r="E6" s="197">
        <f>IF(Inputs!E25="","",Inputs!E25)</f>
        <v>3446055</v>
      </c>
      <c r="F6" s="197">
        <f>IF(Inputs!F25="","",Inputs!F25)</f>
        <v>3156163</v>
      </c>
      <c r="G6" s="197">
        <f>IF(Inputs!G25="","",Inputs!G25)</f>
        <v>3070485</v>
      </c>
      <c r="H6" s="197">
        <f>IF(Inputs!H25="","",Inputs!H25)</f>
        <v>3280381</v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4.6102170554499278E-2</v>
      </c>
      <c r="D7" s="91">
        <f t="shared" si="1"/>
        <v>5.8055950935199885E-2</v>
      </c>
      <c r="E7" s="91">
        <f t="shared" si="1"/>
        <v>9.1849502069443201E-2</v>
      </c>
      <c r="F7" s="91">
        <f t="shared" si="1"/>
        <v>2.7903735077683178E-2</v>
      </c>
      <c r="G7" s="91">
        <f t="shared" si="1"/>
        <v>-6.3985250493768908E-2</v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2963493</v>
      </c>
      <c r="D8" s="196">
        <f>IF(Inputs!D26="","",Inputs!D26)</f>
        <v>2930208</v>
      </c>
      <c r="E8" s="196">
        <f>IF(Inputs!E26="","",Inputs!E26)</f>
        <v>2744148</v>
      </c>
      <c r="F8" s="196">
        <f>IF(Inputs!F26="","",Inputs!F26)</f>
        <v>2432869</v>
      </c>
      <c r="G8" s="196">
        <f>IF(Inputs!G26="","",Inputs!G26)</f>
        <v>2398222</v>
      </c>
      <c r="H8" s="196">
        <f>IF(Inputs!H26="","",Inputs!H26)</f>
        <v>2528935</v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850720</v>
      </c>
      <c r="D9" s="149">
        <f t="shared" si="2"/>
        <v>715911</v>
      </c>
      <c r="E9" s="149">
        <f t="shared" si="2"/>
        <v>701907</v>
      </c>
      <c r="F9" s="149">
        <f t="shared" si="2"/>
        <v>723294</v>
      </c>
      <c r="G9" s="149">
        <f t="shared" si="2"/>
        <v>672263</v>
      </c>
      <c r="H9" s="149">
        <f t="shared" si="2"/>
        <v>751446</v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541794</v>
      </c>
      <c r="D10" s="196">
        <f>IF(Inputs!D27="","",Inputs!D27)</f>
        <v>556427</v>
      </c>
      <c r="E10" s="196">
        <f>IF(Inputs!E27="","",Inputs!E27)</f>
        <v>543403</v>
      </c>
      <c r="F10" s="196">
        <f>IF(Inputs!F27="","",Inputs!F27)</f>
        <v>467260</v>
      </c>
      <c r="G10" s="196">
        <f>IF(Inputs!G27="","",Inputs!G27)</f>
        <v>452634</v>
      </c>
      <c r="H10" s="196">
        <f>IF(Inputs!H27="","",Inputs!H27)</f>
        <v>486140</v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4146.666666666667</v>
      </c>
      <c r="D12" s="196">
        <f>IF(Inputs!D30="","",MAX(Inputs!D30,0)/(1-Fin_Analysis!$I$84))</f>
        <v>4613.333333333333</v>
      </c>
      <c r="E12" s="196">
        <f>IF(Inputs!E30="","",MAX(Inputs!E30,0)/(1-Fin_Analysis!$I$84))</f>
        <v>7790.666666666667</v>
      </c>
      <c r="F12" s="196">
        <f>IF(Inputs!F30="","",MAX(Inputs!F30,0)/(1-Fin_Analysis!$I$84))</f>
        <v>9544</v>
      </c>
      <c r="G12" s="196">
        <f>IF(Inputs!G30="","",MAX(Inputs!G30,0)/(1-Fin_Analysis!$I$84))</f>
        <v>9048</v>
      </c>
      <c r="H12" s="196">
        <f>IF(Inputs!H30="","",MAX(Inputs!H30,0)/(1-Fin_Analysis!$I$84))</f>
        <v>11106.666666666666</v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7.9906217438127689E-2</v>
      </c>
      <c r="D13" s="224">
        <f t="shared" si="3"/>
        <v>4.2475483292417682E-2</v>
      </c>
      <c r="E13" s="224">
        <f t="shared" si="3"/>
        <v>4.3735034215453134E-2</v>
      </c>
      <c r="F13" s="224">
        <f t="shared" si="3"/>
        <v>7.8097994305110358E-2</v>
      </c>
      <c r="G13" s="224">
        <f t="shared" si="3"/>
        <v>6.858232494215083E-2</v>
      </c>
      <c r="H13" s="224">
        <f t="shared" si="3"/>
        <v>7.749079553055982E-2</v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304779.33333333331</v>
      </c>
      <c r="D14" s="225">
        <f t="shared" ref="D14:M14" si="4">IF(D6="","",D9-D10-MAX(D11,0)-MAX(D12,0))</f>
        <v>154870.66666666666</v>
      </c>
      <c r="E14" s="225">
        <f t="shared" si="4"/>
        <v>150713.33333333334</v>
      </c>
      <c r="F14" s="225">
        <f t="shared" si="4"/>
        <v>246490</v>
      </c>
      <c r="G14" s="225">
        <f t="shared" si="4"/>
        <v>210581</v>
      </c>
      <c r="H14" s="225">
        <f t="shared" si="4"/>
        <v>254199.33333333334</v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0.96796036262515817</v>
      </c>
      <c r="D15" s="227">
        <f t="shared" ref="D15:M15" si="5">IF(E14="","",IF(ABS(D14+E14)=ABS(D14)+ABS(E14),IF(D14&lt;0,-1,1)*(D14-E14)/E14,"Turn"))</f>
        <v>2.7584376520546603E-2</v>
      </c>
      <c r="E15" s="227">
        <f t="shared" si="5"/>
        <v>-0.38856207824522965</v>
      </c>
      <c r="F15" s="227">
        <f t="shared" si="5"/>
        <v>0.17052345653216577</v>
      </c>
      <c r="G15" s="227">
        <f t="shared" si="5"/>
        <v>-0.17159106108329686</v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-70259</v>
      </c>
      <c r="D16" s="196">
        <f>IF(Inputs!D31="","",Inputs!D31)</f>
        <v>-27525</v>
      </c>
      <c r="E16" s="196">
        <f>IF(Inputs!E31="","",Inputs!E31)</f>
        <v>233698</v>
      </c>
      <c r="F16" s="196">
        <f>IF(Inputs!F31="","",Inputs!F31)</f>
        <v>42431</v>
      </c>
      <c r="G16" s="196">
        <f>IF(Inputs!G31="","",Inputs!G31)</f>
        <v>-81917</v>
      </c>
      <c r="H16" s="196">
        <f>IF(Inputs!H31="","",Inputs!H31)</f>
        <v>-17970</v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31560</v>
      </c>
      <c r="D17" s="196">
        <f>IF(Inputs!D29="","",Inputs!D29)</f>
        <v>21677</v>
      </c>
      <c r="E17" s="196">
        <f>IF(Inputs!E29="","",Inputs!E29)</f>
        <v>20063</v>
      </c>
      <c r="F17" s="196">
        <f>IF(Inputs!F29="","",Inputs!F29)</f>
        <v>13516</v>
      </c>
      <c r="G17" s="196">
        <f>IF(Inputs!G29="","",Inputs!G29)</f>
        <v>19614</v>
      </c>
      <c r="H17" s="196">
        <f>IF(Inputs!H29="","",Inputs!H29)</f>
        <v>18362</v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7.2072535015742428E-2</v>
      </c>
      <c r="D18" s="150">
        <f t="shared" si="6"/>
        <v>7.5203250360177498E-2</v>
      </c>
      <c r="E18" s="150">
        <f t="shared" si="6"/>
        <v>8.2205594513146185E-2</v>
      </c>
      <c r="F18" s="150">
        <f t="shared" si="6"/>
        <v>7.953676663721107E-2</v>
      </c>
      <c r="G18" s="150">
        <f t="shared" si="6"/>
        <v>7.983787577532539E-2</v>
      </c>
      <c r="H18" s="150">
        <f t="shared" si="6"/>
        <v>6.2301299757558652E-2</v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274900</v>
      </c>
      <c r="D19" s="196">
        <f>IF(Inputs!D32="","",Inputs!D32)</f>
        <v>274200</v>
      </c>
      <c r="E19" s="196">
        <f>IF(Inputs!E32="","",Inputs!E32)</f>
        <v>283285</v>
      </c>
      <c r="F19" s="196">
        <f>IF(Inputs!F32="","",Inputs!F32)</f>
        <v>251031</v>
      </c>
      <c r="G19" s="196">
        <f>IF(Inputs!G32="","",Inputs!G32)</f>
        <v>245141</v>
      </c>
      <c r="H19" s="196">
        <f>IF(Inputs!H32="","",Inputs!H32)</f>
        <v>204372</v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4.8476579572247276E-2</v>
      </c>
      <c r="D20" s="150">
        <f t="shared" si="7"/>
        <v>6.2148273273582126E-2</v>
      </c>
      <c r="E20" s="150">
        <f t="shared" si="7"/>
        <v>9.1815133536754343E-2</v>
      </c>
      <c r="F20" s="150">
        <f t="shared" si="7"/>
        <v>8.3519133834342521E-2</v>
      </c>
      <c r="G20" s="150">
        <f t="shared" si="7"/>
        <v>9.1874736401578255E-2</v>
      </c>
      <c r="H20" s="150">
        <f t="shared" si="7"/>
        <v>0.11931540878940586</v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184900</v>
      </c>
      <c r="D21" s="196">
        <f>IF(Inputs!D33="","",Inputs!D33)</f>
        <v>226600</v>
      </c>
      <c r="E21" s="196">
        <f>IF(Inputs!E33="","",Inputs!E33)</f>
        <v>316400</v>
      </c>
      <c r="F21" s="196">
        <f>IF(Inputs!F33="","",Inputs!F33)</f>
        <v>263600</v>
      </c>
      <c r="G21" s="196">
        <f>IF(Inputs!G33="","",Inputs!G33)</f>
        <v>282100</v>
      </c>
      <c r="H21" s="196">
        <f>IF(Inputs!H33="","",Inputs!H33)</f>
        <v>391400</v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183219.33333333331</v>
      </c>
      <c r="D22" s="158">
        <f t="shared" ref="D22:M22" si="8">IF(D6="","",D14-MAX(D16,0)-MAX(D17,0)-ABS(MAX(D21,0)-MAX(D19,0)))</f>
        <v>85593.666666666657</v>
      </c>
      <c r="E22" s="158">
        <f t="shared" si="8"/>
        <v>-136162.66666666666</v>
      </c>
      <c r="F22" s="158">
        <f t="shared" si="8"/>
        <v>177974</v>
      </c>
      <c r="G22" s="158">
        <f t="shared" si="8"/>
        <v>154008</v>
      </c>
      <c r="H22" s="158">
        <f t="shared" si="8"/>
        <v>48809.333333333343</v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3.6026960214335171E-2</v>
      </c>
      <c r="D23" s="151">
        <f t="shared" si="9"/>
        <v>1.7606460458366825E-2</v>
      </c>
      <c r="E23" s="151">
        <f t="shared" si="9"/>
        <v>-2.9634466077877456E-2</v>
      </c>
      <c r="F23" s="151">
        <f t="shared" si="9"/>
        <v>4.2292017237386029E-2</v>
      </c>
      <c r="G23" s="151">
        <f t="shared" si="9"/>
        <v>3.7618161300250613E-2</v>
      </c>
      <c r="H23" s="151">
        <f t="shared" si="9"/>
        <v>1.1159374475099083E-2</v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137414.5</v>
      </c>
      <c r="D24" s="77">
        <f>IF(D6="","",D22*(1-Fin_Analysis!$I$84))</f>
        <v>64195.249999999993</v>
      </c>
      <c r="E24" s="77">
        <f>IF(E6="","",E22*(1-Fin_Analysis!$I$84))</f>
        <v>-102122</v>
      </c>
      <c r="F24" s="77">
        <f>IF(F6="","",F22*(1-Fin_Analysis!$I$84))</f>
        <v>133480.5</v>
      </c>
      <c r="G24" s="77">
        <f>IF(G6="","",G22*(1-Fin_Analysis!$I$84))</f>
        <v>115506</v>
      </c>
      <c r="H24" s="77">
        <f>IF(H6="","",H22*(1-Fin_Analysis!$I$84))</f>
        <v>36607.000000000007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1.1405711481768512</v>
      </c>
      <c r="D25" s="228" t="str">
        <f t="shared" ref="D25:M25" si="10">IF(E24="","",IF(ABS(D24+E24)=ABS(D24)+ABS(E24),IF(D24&lt;0,-1,1)*(D24-E24)/E24,"Turn"))</f>
        <v>Turn</v>
      </c>
      <c r="E25" s="228" t="str">
        <f t="shared" si="10"/>
        <v>Turn</v>
      </c>
      <c r="F25" s="228">
        <f t="shared" si="10"/>
        <v>0.15561529271206689</v>
      </c>
      <c r="G25" s="228">
        <f t="shared" si="10"/>
        <v>2.1552981670172366</v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4535937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788933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589038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1858363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34140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394340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428480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2677574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44886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3773967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8.0758346146994217E-2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0.77696054205677556</v>
      </c>
      <c r="D40" s="154">
        <f t="shared" si="34"/>
        <v>0.80365122476803419</v>
      </c>
      <c r="E40" s="154">
        <f t="shared" si="34"/>
        <v>0.79631578718273499</v>
      </c>
      <c r="F40" s="154">
        <f t="shared" si="34"/>
        <v>0.77083122766473089</v>
      </c>
      <c r="G40" s="154">
        <f t="shared" si="34"/>
        <v>0.7810564129119667</v>
      </c>
      <c r="H40" s="154">
        <f t="shared" si="34"/>
        <v>0.77092721851516632</v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0.14204607870614464</v>
      </c>
      <c r="D41" s="151">
        <f t="shared" si="35"/>
        <v>0.15260801965048315</v>
      </c>
      <c r="E41" s="151">
        <f t="shared" si="35"/>
        <v>0.15768842923284743</v>
      </c>
      <c r="F41" s="151">
        <f t="shared" si="35"/>
        <v>0.14804685309345555</v>
      </c>
      <c r="G41" s="151">
        <f t="shared" si="35"/>
        <v>0.14741449640691942</v>
      </c>
      <c r="H41" s="151">
        <f t="shared" si="35"/>
        <v>0.14819620038038264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6.7816096957245317E-2</v>
      </c>
      <c r="F42" s="151">
        <f t="shared" si="36"/>
        <v>1.344385571974578E-2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8.274315042185636E-3</v>
      </c>
      <c r="D43" s="151">
        <f t="shared" si="37"/>
        <v>5.9452255946665479E-3</v>
      </c>
      <c r="E43" s="151">
        <f t="shared" si="37"/>
        <v>5.8220196717696029E-3</v>
      </c>
      <c r="F43" s="151">
        <f t="shared" si="37"/>
        <v>4.2824150717184128E-3</v>
      </c>
      <c r="G43" s="151">
        <f t="shared" si="37"/>
        <v>6.387915915563828E-3</v>
      </c>
      <c r="H43" s="151">
        <f t="shared" si="37"/>
        <v>5.5975205319138237E-3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1.0871617989521474E-3</v>
      </c>
      <c r="D44" s="151">
        <f t="shared" si="38"/>
        <v>1.2652722890649846E-3</v>
      </c>
      <c r="E44" s="151">
        <f t="shared" si="38"/>
        <v>2.2607493689644148E-3</v>
      </c>
      <c r="F44" s="151">
        <f t="shared" si="38"/>
        <v>3.0239249367032058E-3</v>
      </c>
      <c r="G44" s="151">
        <f t="shared" si="38"/>
        <v>2.9467657389630627E-3</v>
      </c>
      <c r="H44" s="151">
        <f t="shared" si="38"/>
        <v>3.3857855738911626E-3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2.3595955443495159E-2</v>
      </c>
      <c r="D45" s="151">
        <f t="shared" si="39"/>
        <v>1.3054977086595363E-2</v>
      </c>
      <c r="E45" s="151">
        <f t="shared" si="39"/>
        <v>9.6095390236081556E-3</v>
      </c>
      <c r="F45" s="151">
        <f t="shared" si="39"/>
        <v>3.9823671971314532E-3</v>
      </c>
      <c r="G45" s="151">
        <f t="shared" si="39"/>
        <v>1.2036860626252855E-2</v>
      </c>
      <c r="H45" s="151">
        <f t="shared" si="39"/>
        <v>5.7014109031847213E-2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4.8035946952446888E-2</v>
      </c>
      <c r="D46" s="151">
        <f t="shared" si="40"/>
        <v>2.347528061115577E-2</v>
      </c>
      <c r="E46" s="151">
        <f t="shared" si="40"/>
        <v>-3.9512621437169937E-2</v>
      </c>
      <c r="F46" s="151">
        <f t="shared" si="40"/>
        <v>5.6389356316514705E-2</v>
      </c>
      <c r="G46" s="151">
        <f t="shared" si="40"/>
        <v>5.0157548400334151E-2</v>
      </c>
      <c r="H46" s="151">
        <f t="shared" si="40"/>
        <v>1.4879165966798778E-2</v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>
        <f t="shared" ref="C48:M48" si="41">IF(C6="","",C6/C27)</f>
        <v>0.84088756082811555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e">
        <f t="shared" si="41"/>
        <v>#VALUE!</v>
      </c>
      <c r="H48" s="267" t="e">
        <f t="shared" si="41"/>
        <v>#VALUE!</v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0.20684031017669963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0.15443238225028336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>
        <f t="shared" ref="C51:M51" si="44">IF(D6="","",C16/(C6-D6))</f>
        <v>-0.41797446666745985</v>
      </c>
      <c r="D51" s="151">
        <f t="shared" si="44"/>
        <v>-0.13758097408829176</v>
      </c>
      <c r="E51" s="151">
        <f t="shared" si="44"/>
        <v>0.80615539580257478</v>
      </c>
      <c r="F51" s="151">
        <f t="shared" si="44"/>
        <v>0.4952379840799272</v>
      </c>
      <c r="G51" s="151">
        <f t="shared" si="44"/>
        <v>0.39027423104775699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>
        <f t="shared" ref="C53:M53" si="45">IF(C34="","",(C34-C35)/C27)</f>
        <v>0.58040665026873173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0.42760299975105798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0.17225256432181468</v>
      </c>
      <c r="D55" s="151">
        <f t="shared" si="47"/>
        <v>0.25325471900179536</v>
      </c>
      <c r="E55" s="151">
        <f t="shared" si="47"/>
        <v>-0.14734582166428389</v>
      </c>
      <c r="F55" s="151">
        <f t="shared" si="47"/>
        <v>7.5943677166327661E-2</v>
      </c>
      <c r="G55" s="151">
        <f t="shared" si="47"/>
        <v>0.12735702041452393</v>
      </c>
      <c r="H55" s="151">
        <f t="shared" si="47"/>
        <v>0.37619854126259999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>
        <f t="shared" ref="C58:M58" si="49">IF(C14="","",C14/(C34-C35))</f>
        <v>0.11576735767144961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e">
        <f t="shared" si="49"/>
        <v>#VALUE!</v>
      </c>
      <c r="H58" s="269" t="e">
        <f t="shared" si="49"/>
        <v>#VALUE!</v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>
        <f t="shared" ref="C59:M59" si="50">IF(C22="","",C22/(C34-C35))</f>
        <v>6.959401696415729E-2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e">
        <f t="shared" si="50"/>
        <v>#VALUE!</v>
      </c>
      <c r="H59" s="269" t="e">
        <f t="shared" si="50"/>
        <v>#VALUE!</v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2677574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2632688</v>
      </c>
      <c r="K3" s="24"/>
    </row>
    <row r="4" spans="1:11" ht="15" customHeight="1" x14ac:dyDescent="0.4">
      <c r="B4" s="3" t="s">
        <v>22</v>
      </c>
      <c r="C4" s="86"/>
      <c r="D4" s="196">
        <f>Inputs!C42</f>
        <v>44886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1.6576112044006279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-193034.75</v>
      </c>
      <c r="E6" s="56">
        <f>1-D6/D3</f>
        <v>1.0720931522340746</v>
      </c>
      <c r="F6" s="86"/>
      <c r="G6" s="86"/>
      <c r="H6" s="1" t="s">
        <v>25</v>
      </c>
      <c r="I6" s="63">
        <f>(C24+C25)/I28</f>
        <v>1.1969324146349545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>
        <f>C24/I28</f>
        <v>1.1429333255242431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45565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687658</v>
      </c>
      <c r="D11" s="195">
        <f>Inputs!D48</f>
        <v>0.9</v>
      </c>
      <c r="E11" s="87">
        <f t="shared" ref="E11:E22" si="0">C11*D11</f>
        <v>618892.20000000007</v>
      </c>
      <c r="F11" s="111"/>
      <c r="G11" s="86"/>
      <c r="H11" s="3" t="s">
        <v>34</v>
      </c>
      <c r="I11" s="40">
        <f>Inputs!C73</f>
        <v>14082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16276</v>
      </c>
      <c r="J12" s="86"/>
      <c r="K12" s="24"/>
    </row>
    <row r="13" spans="1:11" ht="13.9" x14ac:dyDescent="0.4">
      <c r="B13" s="3" t="s">
        <v>111</v>
      </c>
      <c r="C13" s="40">
        <f>Inputs!C50</f>
        <v>788933</v>
      </c>
      <c r="D13" s="195">
        <f>Inputs!D50</f>
        <v>0.6</v>
      </c>
      <c r="E13" s="87">
        <f t="shared" si="0"/>
        <v>473359.8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6517</v>
      </c>
      <c r="D14" s="195">
        <f>Inputs!D51</f>
        <v>0.6</v>
      </c>
      <c r="E14" s="87">
        <f t="shared" si="0"/>
        <v>3910.2</v>
      </c>
      <c r="F14" s="111"/>
      <c r="G14" s="86"/>
      <c r="H14" s="85" t="s">
        <v>38</v>
      </c>
      <c r="I14" s="201">
        <f>Inputs!C76</f>
        <v>3782</v>
      </c>
      <c r="J14" s="86"/>
      <c r="K14" s="27"/>
    </row>
    <row r="15" spans="1:11" ht="13.9" x14ac:dyDescent="0.4">
      <c r="B15" s="3" t="s">
        <v>39</v>
      </c>
      <c r="C15" s="40">
        <f>Inputs!C52</f>
        <v>4993</v>
      </c>
      <c r="D15" s="195">
        <f>Inputs!D52</f>
        <v>0.5</v>
      </c>
      <c r="E15" s="87">
        <f t="shared" si="0"/>
        <v>2496.5</v>
      </c>
      <c r="F15" s="111"/>
      <c r="G15" s="86"/>
      <c r="H15" s="1" t="s">
        <v>49</v>
      </c>
      <c r="I15" s="83">
        <f>SUM(I11:I14)</f>
        <v>34140</v>
      </c>
      <c r="J15" s="86"/>
    </row>
    <row r="16" spans="1:11" ht="13.9" x14ac:dyDescent="0.4">
      <c r="B16" s="1" t="s">
        <v>149</v>
      </c>
      <c r="C16" s="40">
        <f>Inputs!C53</f>
        <v>65078</v>
      </c>
      <c r="D16" s="195">
        <f>Inputs!D53</f>
        <v>0.6</v>
      </c>
      <c r="E16" s="87">
        <f t="shared" si="0"/>
        <v>39046.799999999996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589038</v>
      </c>
      <c r="D18" s="195">
        <f>Inputs!D55</f>
        <v>0.5</v>
      </c>
      <c r="E18" s="87">
        <f t="shared" si="0"/>
        <v>294519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8754</v>
      </c>
      <c r="D21" s="195">
        <f>Inputs!D58</f>
        <v>0.9</v>
      </c>
      <c r="E21" s="87">
        <f t="shared" si="0"/>
        <v>7878.6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1263493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1483108</v>
      </c>
      <c r="D24" s="62">
        <f>IF(E24=0,0,E24/C24)</f>
        <v>0.73909802927366042</v>
      </c>
      <c r="E24" s="87">
        <f>SUM(E11:E14)</f>
        <v>1096162.2</v>
      </c>
      <c r="F24" s="112">
        <f>E24/$E$28</f>
        <v>0.7611692523958874</v>
      </c>
      <c r="G24" s="86"/>
    </row>
    <row r="25" spans="2:10" ht="15" customHeight="1" x14ac:dyDescent="0.4">
      <c r="B25" s="23" t="s">
        <v>50</v>
      </c>
      <c r="C25" s="61">
        <f>SUM(C15:C17)</f>
        <v>70071</v>
      </c>
      <c r="D25" s="62">
        <f>IF(E25=0,0,E25/C25)</f>
        <v>0.59287437028157153</v>
      </c>
      <c r="E25" s="87">
        <f>SUM(E15:E17)</f>
        <v>41543.299999999996</v>
      </c>
      <c r="F25" s="112">
        <f>E25/$E$28</f>
        <v>2.8847448491708678E-2</v>
      </c>
      <c r="G25" s="86"/>
      <c r="H25" s="23" t="s">
        <v>51</v>
      </c>
      <c r="I25" s="63">
        <f>E28/I28</f>
        <v>1.1097922910406872</v>
      </c>
    </row>
    <row r="26" spans="2:10" ht="15" customHeight="1" x14ac:dyDescent="0.4">
      <c r="B26" s="23" t="s">
        <v>52</v>
      </c>
      <c r="C26" s="61">
        <f>C18+C19+C20</f>
        <v>589038</v>
      </c>
      <c r="D26" s="62">
        <f>IF(E26=0,0,E26/C26)</f>
        <v>0.5</v>
      </c>
      <c r="E26" s="87">
        <f>E18+E19+E20</f>
        <v>294519</v>
      </c>
      <c r="F26" s="112">
        <f>E26/$E$28</f>
        <v>0.20451244081066139</v>
      </c>
      <c r="G26" s="86"/>
      <c r="H26" s="23" t="s">
        <v>53</v>
      </c>
      <c r="I26" s="63">
        <f>E24/($I$28-I22)</f>
        <v>32.107855887521964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8754</v>
      </c>
      <c r="D27" s="62">
        <f>IF(E27=0,0,E27/C27)</f>
        <v>0.9</v>
      </c>
      <c r="E27" s="87">
        <f>E21+E22</f>
        <v>7878.6</v>
      </c>
      <c r="F27" s="112">
        <f>E27/$E$28</f>
        <v>5.4708583017424239E-3</v>
      </c>
      <c r="G27" s="86"/>
      <c r="H27" s="23" t="s">
        <v>55</v>
      </c>
      <c r="I27" s="63">
        <f>(E25+E24)/$I$28</f>
        <v>0.87675444443845063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2150971</v>
      </c>
      <c r="D28" s="57">
        <f>E28/C28</f>
        <v>0.66951302458285122</v>
      </c>
      <c r="E28" s="70">
        <f>SUM(E24:E27)</f>
        <v>1440103.1</v>
      </c>
      <c r="F28" s="111"/>
      <c r="G28" s="86"/>
      <c r="H28" s="78" t="s">
        <v>15</v>
      </c>
      <c r="I28" s="202">
        <f>Inputs!C77</f>
        <v>1297633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342402</v>
      </c>
      <c r="J30" s="86"/>
    </row>
    <row r="31" spans="2:10" ht="15" customHeight="1" x14ac:dyDescent="0.4">
      <c r="B31" s="3" t="s">
        <v>58</v>
      </c>
      <c r="C31" s="40">
        <f>Inputs!C61</f>
        <v>23429</v>
      </c>
      <c r="D31" s="195">
        <f>Inputs!D61</f>
        <v>0.6</v>
      </c>
      <c r="E31" s="87">
        <f t="shared" ref="E31:E42" si="1">C31*D31</f>
        <v>14057.4</v>
      </c>
      <c r="F31" s="111"/>
      <c r="G31" s="86"/>
      <c r="H31" s="3" t="s">
        <v>59</v>
      </c>
      <c r="I31" s="40">
        <f>Inputs!C79</f>
        <v>51938</v>
      </c>
      <c r="J31" s="86"/>
    </row>
    <row r="32" spans="2:10" ht="15" customHeight="1" x14ac:dyDescent="0.4">
      <c r="B32" s="3" t="s">
        <v>60</v>
      </c>
      <c r="C32" s="40">
        <f>Inputs!C62</f>
        <v>19731</v>
      </c>
      <c r="D32" s="195">
        <f>Inputs!D62</f>
        <v>0.5</v>
      </c>
      <c r="E32" s="87">
        <f t="shared" si="1"/>
        <v>9865.5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394340</v>
      </c>
      <c r="J34" s="86"/>
    </row>
    <row r="35" spans="2:10" ht="13.9" x14ac:dyDescent="0.4">
      <c r="B35" s="3" t="s">
        <v>65</v>
      </c>
      <c r="C35" s="40">
        <f>Inputs!C65</f>
        <v>2308</v>
      </c>
      <c r="D35" s="195">
        <f>Inputs!D65</f>
        <v>0.1</v>
      </c>
      <c r="E35" s="87">
        <f t="shared" si="1"/>
        <v>230.8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17334</v>
      </c>
      <c r="D36" s="195">
        <f>Inputs!D66</f>
        <v>0.2</v>
      </c>
      <c r="E36" s="87">
        <f t="shared" si="1"/>
        <v>3466.8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1508433</v>
      </c>
      <c r="D38" s="195">
        <f>Inputs!D68</f>
        <v>0.1</v>
      </c>
      <c r="E38" s="87">
        <f t="shared" si="1"/>
        <v>150843.30000000002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172447</v>
      </c>
      <c r="D40" s="195">
        <f>Inputs!D70</f>
        <v>0.05</v>
      </c>
      <c r="E40" s="87">
        <f t="shared" si="1"/>
        <v>8622.35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92250</v>
      </c>
      <c r="D41" s="195">
        <f>Inputs!D71</f>
        <v>0.9</v>
      </c>
      <c r="E41" s="87">
        <f t="shared" si="1"/>
        <v>83025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30260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166390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23429</v>
      </c>
      <c r="D44" s="62">
        <f>IF(E44=0,0,E44/C44)</f>
        <v>0.6</v>
      </c>
      <c r="E44" s="87">
        <f>SUM(E30:E31)</f>
        <v>14057.4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22039</v>
      </c>
      <c r="D45" s="62">
        <f>IF(E45=0,0,E45/C45)</f>
        <v>0.45811062207904168</v>
      </c>
      <c r="E45" s="87">
        <f>SUM(E32:E35)</f>
        <v>10096.299999999999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1525767</v>
      </c>
      <c r="D46" s="62">
        <f>IF(E46=0,0,E46/C46)</f>
        <v>0.10113608434315331</v>
      </c>
      <c r="E46" s="87">
        <f>E36+E37+E38+E39</f>
        <v>154310.1</v>
      </c>
      <c r="F46" s="86"/>
      <c r="G46" s="86"/>
      <c r="H46" s="23" t="s">
        <v>76</v>
      </c>
      <c r="I46" s="63">
        <f>(E44+E24)/E64</f>
        <v>2.5910651605675876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294957</v>
      </c>
      <c r="D47" s="62">
        <f>IF(E47=0,0,E47/C47)</f>
        <v>0.31071427360598325</v>
      </c>
      <c r="E47" s="87">
        <f>E40+E41+E42</f>
        <v>91647.35</v>
      </c>
      <c r="F47" s="86"/>
      <c r="G47" s="86"/>
      <c r="H47" s="23" t="s">
        <v>78</v>
      </c>
      <c r="I47" s="63">
        <f>(E44+E45+E24+E25)/$I$49</f>
        <v>0.62520573214167519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79">
        <f>SUM(C30:C42)</f>
        <v>1866192</v>
      </c>
      <c r="D48" s="81">
        <f>E48/C48</f>
        <v>0.14473920689832559</v>
      </c>
      <c r="E48" s="76">
        <f>SUM(E30:E42)</f>
        <v>270111.15000000002</v>
      </c>
      <c r="F48" s="86"/>
      <c r="G48" s="86"/>
      <c r="H48" s="80" t="s">
        <v>80</v>
      </c>
      <c r="I48" s="277">
        <f>I49-I28</f>
        <v>560730</v>
      </c>
      <c r="J48" s="8"/>
    </row>
    <row r="49" spans="2:11" ht="15" customHeight="1" thickTop="1" x14ac:dyDescent="0.4">
      <c r="B49" s="3" t="s">
        <v>13</v>
      </c>
      <c r="C49" s="61">
        <f>Inputs!C41+Inputs!C37</f>
        <v>4535937</v>
      </c>
      <c r="D49" s="56">
        <f>E49/C49</f>
        <v>0.37703659684867757</v>
      </c>
      <c r="E49" s="87">
        <f>E28+E48</f>
        <v>1710214.25</v>
      </c>
      <c r="F49" s="86"/>
      <c r="G49" s="86"/>
      <c r="H49" s="3" t="s">
        <v>81</v>
      </c>
      <c r="I49" s="40">
        <f>Inputs!C37</f>
        <v>1858363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44886</v>
      </c>
      <c r="D53" s="29">
        <f>IF(E53=0, 0,E53/C53)</f>
        <v>1</v>
      </c>
      <c r="E53" s="87">
        <f>IF(C53=0,0,MAX(C53,C53*Dashboard!G23))</f>
        <v>44886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428480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74312</v>
      </c>
      <c r="D61" s="56">
        <f t="shared" ref="D61:D70" si="2">IF(E61=0,0,E61/C61)</f>
        <v>0.45789643664549462</v>
      </c>
      <c r="E61" s="52">
        <f>E14+E15+(E19*G19)+(E20*G20)+E31+E32+(E35*G35)+(E36*G36)+(E37*G37)</f>
        <v>34027.199999999997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687658</v>
      </c>
      <c r="D62" s="106">
        <f t="shared" si="2"/>
        <v>0.90000000000000013</v>
      </c>
      <c r="E62" s="116">
        <f>E11+E30</f>
        <v>618892.20000000007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761970</v>
      </c>
      <c r="D63" s="29">
        <f t="shared" si="2"/>
        <v>0.85688334186385295</v>
      </c>
      <c r="E63" s="61">
        <f>E61+E62</f>
        <v>652919.4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428480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333490</v>
      </c>
      <c r="D65" s="29">
        <f t="shared" si="2"/>
        <v>0.67300188911211734</v>
      </c>
      <c r="E65" s="61">
        <f>E63-E64</f>
        <v>224439.40000000002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3773967</v>
      </c>
      <c r="D68" s="29">
        <f t="shared" si="2"/>
        <v>0.28015476817894808</v>
      </c>
      <c r="E68" s="68">
        <f>E49-E63</f>
        <v>1057294.8500000001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1429883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2344084</v>
      </c>
      <c r="D70" s="29">
        <f t="shared" si="2"/>
        <v>-0.15894829280861944</v>
      </c>
      <c r="E70" s="68">
        <f>E68-E69</f>
        <v>-372588.14999999991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45382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3814213</v>
      </c>
      <c r="D74" s="204"/>
      <c r="E74" s="233">
        <f>Inputs!E91</f>
        <v>3814213</v>
      </c>
      <c r="F74" s="204"/>
      <c r="H74" s="233">
        <f>Inputs!F91</f>
        <v>3814213</v>
      </c>
      <c r="I74" s="204"/>
      <c r="K74" s="24"/>
    </row>
    <row r="75" spans="1:11" ht="15" customHeight="1" x14ac:dyDescent="0.4">
      <c r="B75" s="103" t="s">
        <v>101</v>
      </c>
      <c r="C75" s="77">
        <f>Data!C8</f>
        <v>2963493</v>
      </c>
      <c r="D75" s="156">
        <f>C75/$C$74</f>
        <v>0.77696054205677556</v>
      </c>
      <c r="E75" s="233">
        <f>Inputs!E92</f>
        <v>2994157.2050000001</v>
      </c>
      <c r="F75" s="157">
        <f>E75/E74</f>
        <v>0.78500000000000003</v>
      </c>
      <c r="H75" s="233">
        <f>Inputs!F92</f>
        <v>2975086.14</v>
      </c>
      <c r="I75" s="157">
        <f>H75/$H$74</f>
        <v>0.78</v>
      </c>
      <c r="K75" s="24"/>
    </row>
    <row r="76" spans="1:11" ht="15" customHeight="1" x14ac:dyDescent="0.4">
      <c r="B76" s="35" t="s">
        <v>91</v>
      </c>
      <c r="C76" s="158">
        <f>C74-C75</f>
        <v>850720</v>
      </c>
      <c r="D76" s="205"/>
      <c r="E76" s="159">
        <f>E74-E75</f>
        <v>820055.79499999993</v>
      </c>
      <c r="F76" s="205"/>
      <c r="H76" s="159">
        <f>H74-H75</f>
        <v>839126.85999999987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541794</v>
      </c>
      <c r="D77" s="156">
        <f>C77/$C$74</f>
        <v>0.14204607870614464</v>
      </c>
      <c r="E77" s="233">
        <f>Inputs!E93</f>
        <v>572131.94999999995</v>
      </c>
      <c r="F77" s="157">
        <f>E77/E74</f>
        <v>0.15</v>
      </c>
      <c r="H77" s="233">
        <f>Inputs!F93</f>
        <v>562596.41749999998</v>
      </c>
      <c r="I77" s="157">
        <f>H77/$H$74</f>
        <v>0.14749999999999999</v>
      </c>
      <c r="K77" s="24"/>
    </row>
    <row r="78" spans="1:11" ht="15" customHeight="1" x14ac:dyDescent="0.4">
      <c r="B78" s="73" t="s">
        <v>160</v>
      </c>
      <c r="C78" s="77">
        <f>MAX(Data!C12,0)</f>
        <v>4146.666666666667</v>
      </c>
      <c r="D78" s="156">
        <f>C78/$C$74</f>
        <v>1.0871617989521474E-3</v>
      </c>
      <c r="E78" s="177">
        <f>E74*F78</f>
        <v>4146.666666666667</v>
      </c>
      <c r="F78" s="157">
        <f>I78</f>
        <v>1.0871617989521474E-3</v>
      </c>
      <c r="H78" s="233">
        <f>Inputs!F97</f>
        <v>4146.666666666667</v>
      </c>
      <c r="I78" s="157">
        <f>H78/$H$74</f>
        <v>1.0871617989521474E-3</v>
      </c>
      <c r="K78" s="24"/>
    </row>
    <row r="79" spans="1:11" ht="15" customHeight="1" x14ac:dyDescent="0.4">
      <c r="B79" s="251" t="s">
        <v>216</v>
      </c>
      <c r="C79" s="252">
        <f>C76-C77-C78</f>
        <v>304779.33333333331</v>
      </c>
      <c r="D79" s="253">
        <f>C79/C74</f>
        <v>7.9906217438127689E-2</v>
      </c>
      <c r="E79" s="254">
        <f>E76-E77-E78</f>
        <v>243777.17833333332</v>
      </c>
      <c r="F79" s="253">
        <f>E79/E74</f>
        <v>6.3912838201047845E-2</v>
      </c>
      <c r="G79" s="255"/>
      <c r="H79" s="254">
        <f>H76-H77-H78</f>
        <v>272383.7758333332</v>
      </c>
      <c r="I79" s="253">
        <f>H79/H74</f>
        <v>7.1412838201047824E-2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31560</v>
      </c>
      <c r="D81" s="156">
        <f>C81/$C$74</f>
        <v>8.274315042185636E-3</v>
      </c>
      <c r="E81" s="177">
        <f>E74*F81</f>
        <v>31560</v>
      </c>
      <c r="F81" s="157">
        <f>I81</f>
        <v>8.274315042185636E-3</v>
      </c>
      <c r="H81" s="233">
        <f>Inputs!F94</f>
        <v>31560</v>
      </c>
      <c r="I81" s="157">
        <f>H81/$H$74</f>
        <v>8.274315042185636E-3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90000</v>
      </c>
      <c r="D82" s="156">
        <f>C82/$C$74</f>
        <v>2.3595955443495159E-2</v>
      </c>
      <c r="E82" s="233">
        <f>Inputs!E95</f>
        <v>90000</v>
      </c>
      <c r="F82" s="157">
        <f>E82/E74</f>
        <v>2.3595955443495159E-2</v>
      </c>
      <c r="H82" s="233">
        <f>Inputs!F95</f>
        <v>72000</v>
      </c>
      <c r="I82" s="157">
        <f>H82/$H$74</f>
        <v>1.8876764354796127E-2</v>
      </c>
      <c r="K82" s="24"/>
    </row>
    <row r="83" spans="1:11" ht="15" customHeight="1" thickBot="1" x14ac:dyDescent="0.45">
      <c r="B83" s="104" t="s">
        <v>119</v>
      </c>
      <c r="C83" s="160">
        <f>C79-C81-C82-C80</f>
        <v>183219.33333333331</v>
      </c>
      <c r="D83" s="161">
        <f>C83/$C$74</f>
        <v>4.8035946952446888E-2</v>
      </c>
      <c r="E83" s="162">
        <f>E79-E81-E82-E80</f>
        <v>122217.17833333332</v>
      </c>
      <c r="F83" s="161">
        <f>E83/E74</f>
        <v>3.2042567715367051E-2</v>
      </c>
      <c r="H83" s="162">
        <f>H79-H81-H82-H80</f>
        <v>168823.7758333332</v>
      </c>
      <c r="I83" s="161">
        <f>H83/$H$74</f>
        <v>4.4261758804066055E-2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137414.5</v>
      </c>
      <c r="D85" s="253">
        <f>C85/$C$74</f>
        <v>3.6026960214335171E-2</v>
      </c>
      <c r="E85" s="259">
        <f>E83*(1-F84)</f>
        <v>91662.883749999979</v>
      </c>
      <c r="F85" s="253">
        <f>E85/E74</f>
        <v>2.4031925786525288E-2</v>
      </c>
      <c r="G85" s="255"/>
      <c r="H85" s="259">
        <f>H83*(1-I84)</f>
        <v>126617.8318749999</v>
      </c>
      <c r="I85" s="253">
        <f>H85/$H$74</f>
        <v>3.3196319103049543E-2</v>
      </c>
      <c r="K85" s="24"/>
    </row>
    <row r="86" spans="1:11" ht="15" customHeight="1" x14ac:dyDescent="0.4">
      <c r="B86" s="86" t="s">
        <v>151</v>
      </c>
      <c r="C86" s="164">
        <f>C85*Data!C4/Common_Shares</f>
        <v>0.14705985689392354</v>
      </c>
      <c r="D86" s="204"/>
      <c r="E86" s="165">
        <f>E85*Data!C4/Common_Shares</f>
        <v>9.8096857076650182E-2</v>
      </c>
      <c r="F86" s="204"/>
      <c r="H86" s="165">
        <f>H85*Data!C4/Common_Shares</f>
        <v>0.13550535231548602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0.10484063412748981</v>
      </c>
      <c r="D87" s="204"/>
      <c r="E87" s="257">
        <f>E86*Exchange_Rate/Dashboard!G3</f>
        <v>6.9934358152191942E-2</v>
      </c>
      <c r="F87" s="204"/>
      <c r="H87" s="257">
        <f>H86*Exchange_Rate/Dashboard!G3</f>
        <v>9.6603297218436773E-2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7.8199999999999992E-2</v>
      </c>
      <c r="D88" s="163">
        <f>C88/C86</f>
        <v>0.53175626341324955</v>
      </c>
      <c r="E88" s="167">
        <f>Inputs!E98</f>
        <v>7.8199999999999992E-2</v>
      </c>
      <c r="F88" s="163">
        <f>E88/E86</f>
        <v>0.79717130936108038</v>
      </c>
      <c r="H88" s="167">
        <f>Inputs!F98</f>
        <v>7.8199999999999992E-2</v>
      </c>
      <c r="I88" s="163">
        <f>H88/H86</f>
        <v>0.57709897552927159</v>
      </c>
      <c r="K88" s="24"/>
    </row>
    <row r="89" spans="1:11" ht="15" customHeight="1" x14ac:dyDescent="0.4">
      <c r="B89" s="86" t="s">
        <v>205</v>
      </c>
      <c r="C89" s="256">
        <f>C88*Exchange_Rate/Dashboard!G3</f>
        <v>5.5749663857509589E-2</v>
      </c>
      <c r="D89" s="204"/>
      <c r="E89" s="256">
        <f>E88*Exchange_Rate/Dashboard!G3</f>
        <v>5.5749663857509589E-2</v>
      </c>
      <c r="F89" s="204"/>
      <c r="H89" s="256">
        <f>H88*Exchange_Rate/Dashboard!G3</f>
        <v>5.5749663857509589E-2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17.629947115959165</v>
      </c>
      <c r="H93" s="86" t="s">
        <v>194</v>
      </c>
      <c r="I93" s="142">
        <f>FV(H87,D93,0,-(H86/(C93-D94)))*Exchange_Rate</f>
        <v>27.543202365249925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13.146851536000661</v>
      </c>
      <c r="H94" s="86" t="s">
        <v>195</v>
      </c>
      <c r="I94" s="142">
        <f>FV(H89,D93,0,-(H88/(C93-D94)))*Exchange_Rate</f>
        <v>13.146851536000661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12795688.356564865</v>
      </c>
      <c r="D97" s="208"/>
      <c r="E97" s="121">
        <f>PV(C94,D93,0,-F93)</f>
        <v>8.7651995505940796</v>
      </c>
      <c r="F97" s="208"/>
      <c r="H97" s="121">
        <f>PV(C94,D93,0,-I93)</f>
        <v>13.693839431615094</v>
      </c>
      <c r="I97" s="121">
        <f>PV(C93,D93,0,-I93)</f>
        <v>18.691294482566537</v>
      </c>
      <c r="K97" s="24"/>
    </row>
    <row r="98" spans="2:11" ht="15" customHeight="1" x14ac:dyDescent="0.4">
      <c r="B98" s="28" t="s">
        <v>138</v>
      </c>
      <c r="C98" s="90">
        <f>-E53*Exchange_Rate</f>
        <v>-348797.13030433655</v>
      </c>
      <c r="D98" s="208"/>
      <c r="E98" s="208"/>
      <c r="F98" s="208"/>
      <c r="H98" s="121">
        <f>C98*Data!$C$4/Common_Shares</f>
        <v>-0.37327979265337302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-1151224.4097975881</v>
      </c>
      <c r="D99" s="209"/>
      <c r="E99" s="143">
        <f>IF(H99&gt;0,H99*(1-C94),H99*(1+C94))</f>
        <v>-1.4168354249461927</v>
      </c>
      <c r="F99" s="209"/>
      <c r="H99" s="143">
        <f>C99*Data!$C$4/Common_Shares</f>
        <v>-1.2320308043010373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11295666.81646294</v>
      </c>
      <c r="D100" s="108">
        <f>MIN(F100*(1-C94),E100)</f>
        <v>6.9750843329945145</v>
      </c>
      <c r="E100" s="108">
        <f>MAX(E97+H98+E99,0)</f>
        <v>6.9750843329945145</v>
      </c>
      <c r="F100" s="108">
        <f>(E100+H100)/2</f>
        <v>9.5318065838275992</v>
      </c>
      <c r="H100" s="108">
        <f>MAX(C100*Data!$C$4/Common_Shares,0)</f>
        <v>12.088528834660686</v>
      </c>
      <c r="I100" s="108">
        <f>MAX(I97+H98+H99,0)</f>
        <v>17.085983885612126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6107605.5316258464</v>
      </c>
      <c r="D103" s="108">
        <f>MIN(F103*(1-C94),E103)</f>
        <v>5.5558624172020981</v>
      </c>
      <c r="E103" s="121">
        <f>PV(C94,D93,0,-F94)</f>
        <v>6.536308726120116</v>
      </c>
      <c r="F103" s="108">
        <f>(E103+H103)/2</f>
        <v>6.536308726120116</v>
      </c>
      <c r="H103" s="121">
        <f>PV(C94,D93,0,-I94)</f>
        <v>6.536308726120116</v>
      </c>
      <c r="I103" s="108">
        <f>PV(C93,D93,0,-I94)</f>
        <v>8.9216813034057232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6312604.1352703925</v>
      </c>
      <c r="D106" s="108">
        <f>(D100+D103)/2</f>
        <v>6.2654733750983063</v>
      </c>
      <c r="E106" s="121">
        <f>(E100+E103)/2</f>
        <v>6.7556965295573157</v>
      </c>
      <c r="F106" s="108">
        <f>(F100+F103)/2</f>
        <v>8.0340576549738572</v>
      </c>
      <c r="H106" s="121">
        <f>(H100+H103)/2</f>
        <v>9.3124187803904004</v>
      </c>
      <c r="I106" s="121">
        <f>(I100+I103)/2</f>
        <v>13.003832594508925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