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21CBC4E-C7E6-49A2-A20A-18F30CA3AEF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E56" i="2"/>
  <c r="F56" i="2"/>
  <c r="H56" i="2"/>
  <c r="I56" i="2"/>
  <c r="M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F92" i="4"/>
  <c r="D53" i="4"/>
  <c r="J27" i="2"/>
  <c r="G56" i="2"/>
  <c r="L56" i="2"/>
  <c r="D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45" i="2"/>
  <c r="J45" i="2"/>
  <c r="F45" i="2"/>
  <c r="C45" i="2"/>
  <c r="M22" i="2"/>
  <c r="M59" i="2" s="1"/>
  <c r="M45" i="2"/>
  <c r="L44" i="2"/>
  <c r="L14" i="2"/>
  <c r="I44" i="2"/>
  <c r="K44" i="2"/>
  <c r="K14" i="2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I58" i="2" l="1"/>
  <c r="I22" i="2"/>
  <c r="I59" i="2" s="1"/>
  <c r="J58" i="2"/>
  <c r="J22" i="2"/>
  <c r="J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<sst xmlns="http://schemas.openxmlformats.org/spreadsheetml/2006/main" count="392" uniqueCount="277">
  <si>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</si>
  <si>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</si>
  <si>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</si>
  <si>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</si>
  <si>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</si>
  <si>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</si>
  <si>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</si>
  <si>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</si>
  <si>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</si>
  <si>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</si>
  <si>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</si>
  <si>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</si>
  <si>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</si>
  <si>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</si>
  <si>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</si>
  <si>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</si>
  <si>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</si>
  <si>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</si>
  <si>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</si>
  <si>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</si>
  <si>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</si>
  <si>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</si>
  <si>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</si>
  <si>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</si>
  <si>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</si>
  <si>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</si>
  <si>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</si>
  <si>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</si>
  <si>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</si>
  <si>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</si>
  <si>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</si>
  <si>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</si>
  <si>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</si>
  <si>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</si>
  <si>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</si>
  <si>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</si>
  <si>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</si>
  <si>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</si>
  <si>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</si>
  <si>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</si>
  <si>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</si>
  <si>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</si>
  <si>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</si>
  <si>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</si>
  <si>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</si>
  <si>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</si>
  <si>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</si>
  <si>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</si>
  <si>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</si>
  <si>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</si>
  <si>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</si>
  <si>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</si>
  <si>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</si>
  <si>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</si>
  <si>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</si>
  <si>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</si>
  <si>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</si>
  <si>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</si>
  <si>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</si>
  <si>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</si>
  <si>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</si>
  <si>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</si>
  <si>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</si>
  <si>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</si>
  <si>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</si>
  <si>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</si>
  <si>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</si>
  <si>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</si>
  <si>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</si>
  <si>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</si>
  <si>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</si>
  <si>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</si>
  <si>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</si>
  <si>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</si>
  <si>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</si>
  <si>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</si>
  <si>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</si>
  <si>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</si>
  <si>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</si>
  <si>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</si>
  <si>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</si>
  <si>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</si>
  <si>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</si>
  <si>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</si>
  <si>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</si>
  <si>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</si>
  <si>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</si>
  <si>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</si>
  <si>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</si>
  <si>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</si>
  <si>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</si>
  <si>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</si>
  <si>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</si>
  <si>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</si>
  <si>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</si>
  <si>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</si>
  <si>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</si>
  <si>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</si>
  <si>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</si>
  <si>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</si>
  <si>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</si>
  <si>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</si>
  <si>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</si>
  <si>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</si>
  <si>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</si>
  <si>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</si>
  <si>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</si>
  <si>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</si>
  <si>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</si>
  <si>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</si>
  <si>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</si>
  <si>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</si>
  <si>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</si>
  <si>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</si>
  <si>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</si>
  <si>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</si>
  <si>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</si>
  <si>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</si>
  <si>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</si>
  <si>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</si>
  <si>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</si>
  <si>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</si>
  <si>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</si>
  <si>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</si>
  <si>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</si>
  <si>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</si>
  <si>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</si>
  <si>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</si>
  <si>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</si>
  <si>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</si>
  <si>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</si>
  <si>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</si>
  <si>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</si>
  <si>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</si>
  <si>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</si>
  <si>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</si>
  <si>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</si>
  <si>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</si>
  <si>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</si>
  <si>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</si>
  <si>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</si>
  <si>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</si>
  <si>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</si>
  <si>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</si>
  <si>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</si>
  <si>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</si>
  <si>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</si>
  <si>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</si>
  <si>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</si>
  <si>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</si>
  <si>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</si>
  <si>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</si>
  <si>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</si>
  <si>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</si>
  <si>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</si>
  <si>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</si>
  <si>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</si>
  <si>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</si>
  <si>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</si>
  <si>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</si>
  <si>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</si>
  <si>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</si>
  <si>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</si>
  <si>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</si>
  <si>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</si>
  <si>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</si>
  <si>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</si>
  <si>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</si>
  <si>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</si>
  <si>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</si>
  <si>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</si>
  <si>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</si>
  <si>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</si>
  <si>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</si>
  <si>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</si>
  <si>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</si>
  <si>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</si>
  <si>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</si>
  <si>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</si>
  <si>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</si>
  <si>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</si>
  <si>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</si>
  <si>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</si>
  <si>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</si>
  <si>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</si>
  <si>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</si>
  <si>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</si>
  <si>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</si>
  <si>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</si>
  <si>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</si>
  <si>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</si>
  <si>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</si>
  <si>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</si>
  <si>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</si>
  <si>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</si>
  <si>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</si>
  <si>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</si>
  <si>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</si>
  <si>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</si>
  <si>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</si>
  <si>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</si>
  <si>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</si>
  <si>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</si>
  <si>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</si>
  <si>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</si>
  <si>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</si>
  <si>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</si>
  <si>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</si>
  <si>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</si>
  <si>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</si>
  <si>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</si>
  <si>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</si>
  <si>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</si>
  <si>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</si>
  <si>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</si>
  <si>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</si>
  <si>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</si>
  <si>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</si>
  <si>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</si>
  <si>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</si>
  <si>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</si>
  <si>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</si>
  <si>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</si>
  <si>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</si>
  <si>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</si>
  <si>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</si>
  <si>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</si>
  <si>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</si>
  <si>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</si>
  <si>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</si>
  <si>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</si>
  <si>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</si>
  <si>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</si>
  <si>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</si>
  <si>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</si>
  <si>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</si>
  <si>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</si>
  <si>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</si>
  <si>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</si>
  <si>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</si>
  <si>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</si>
  <si>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</si>
  <si>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</si>
  <si>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</si>
  <si>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</si>
  <si>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</si>
  <si>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</si>
  <si>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</si>
  <si>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</si>
  <si>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</si>
  <si>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</si>
  <si>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</si>
  <si>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</si>
  <si>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</si>
  <si>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</si>
  <si>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</si>
  <si>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</si>
  <si>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</si>
  <si>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</si>
  <si>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</si>
  <si>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</si>
  <si>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</si>
  <si>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</si>
  <si>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</si>
  <si>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</si>
  <si>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</si>
  <si>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</si>
  <si>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</si>
  <si>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</si>
  <si>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0398.HK</t>
  </si>
  <si>
    <t>東方表行集團</t>
  </si>
  <si>
    <t>Tier 3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</si>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</sst>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269</v>
      </c>
    </row>
    <row r="5" spans="1:5" ht="13.9" x14ac:dyDescent="0.4">
      <c r="B5" s="139" t="s">
        <v>181</v>
      </c>
      <c r="C5" s="188" t="s">
        <v>270</v>
      </c>
    </row>
    <row r="6" spans="1:5" ht="13.9" x14ac:dyDescent="0.4">
      <c r="B6" s="139" t="s">
        <v>155</v>
      </c>
      <c r="C6" s="186">
        <v>45619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271</v>
      </c>
      <c r="E8" s="262"/>
    </row>
    <row r="9" spans="1:5" ht="13.9" x14ac:dyDescent="0.4">
      <c r="B9" s="138" t="s">
        <v>202</v>
      </c>
      <c r="C9" s="189" t="s">
        <v>228</v>
      </c>
    </row>
    <row r="10" spans="1:5" ht="13.9" x14ac:dyDescent="0.4">
      <c r="B10" s="138" t="s">
        <v>203</v>
      </c>
      <c r="C10" s="190">
        <v>487358224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45382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45382</v>
      </c>
    </row>
    <row r="15" spans="1:5" ht="13.9" x14ac:dyDescent="0.4">
      <c r="B15" s="213" t="s">
        <v>237</v>
      </c>
      <c r="C15" s="173" t="s">
        <v>176</v>
      </c>
    </row>
    <row r="16" spans="1:5" ht="13.9" x14ac:dyDescent="0.4">
      <c r="B16" s="217" t="s">
        <v>93</v>
      </c>
      <c r="C16" s="218">
        <v>0.25</v>
      </c>
      <c r="D16" s="24"/>
      <c r="E16" s="109" t="s">
        <v>268</v>
      </c>
    </row>
    <row r="17" spans="2:13" ht="13.9" x14ac:dyDescent="0.4">
      <c r="B17" s="235" t="s">
        <v>209</v>
      </c>
      <c r="C17" s="237" t="s">
        <v>272</v>
      </c>
      <c r="D17" s="24"/>
    </row>
    <row r="18" spans="2:13" ht="13.9" x14ac:dyDescent="0.4">
      <c r="B18" s="235" t="s">
        <v>223</v>
      </c>
      <c r="C18" s="237" t="s">
        <v>229</v>
      </c>
      <c r="D18" s="24"/>
    </row>
    <row r="19" spans="2:13" ht="13.9" x14ac:dyDescent="0.4">
      <c r="B19" s="235" t="s">
        <v>224</v>
      </c>
      <c r="C19" s="237" t="s">
        <v>273</v>
      </c>
      <c r="D19" s="24"/>
    </row>
    <row r="20" spans="2:13" ht="13.9" x14ac:dyDescent="0.4">
      <c r="B20" s="236" t="s">
        <v>213</v>
      </c>
      <c r="C20" s="237" t="s">
        <v>273</v>
      </c>
      <c r="D20" s="24"/>
    </row>
    <row r="21" spans="2:13" ht="13.9" x14ac:dyDescent="0.4">
      <c r="B21" s="219" t="s">
        <v>216</v>
      </c>
      <c r="C21" s="237" t="s">
        <v>273</v>
      </c>
      <c r="D21" s="24"/>
    </row>
    <row r="22" spans="2:13" ht="78.75" x14ac:dyDescent="0.4">
      <c r="B22" s="221" t="s">
        <v>215</v>
      </c>
      <c r="C22" s="238" t="s">
        <v>274</v>
      </c>
      <c r="D22" s="24"/>
    </row>
    <row r="24" spans="2:13" ht="13.9" x14ac:dyDescent="0.4">
      <c r="B24" s="114" t="s">
        <v>128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3" t="s">
        <v>12</v>
      </c>
      <c r="C25" s="147">
        <v>3638758</v>
      </c>
      <c r="D25" s="147">
        <v>3704677</v>
      </c>
      <c r="E25" s="147">
        <v>3639774</v>
      </c>
      <c r="F25" s="147">
        <v>3504022</v>
      </c>
      <c r="G25" s="147">
        <v>2352683</v>
      </c>
      <c r="H25" s="147">
        <v>2437184</v>
      </c>
      <c r="I25" s="147">
        <v>2891692</v>
      </c>
      <c r="J25" s="147">
        <v>3142295</v>
      </c>
      <c r="K25" s="147"/>
      <c r="L25" s="147"/>
      <c r="M25" s="147"/>
    </row>
    <row r="26" spans="2:13" ht="13.9" x14ac:dyDescent="0.4">
      <c r="B26" s="96" t="s">
        <v>102</v>
      </c>
      <c r="C26" s="148">
        <v>2488028</v>
      </c>
      <c r="D26" s="148">
        <v>2515967</v>
      </c>
      <c r="E26" s="148">
        <v>2459489</v>
      </c>
      <c r="F26" s="148">
        <v>2541906</v>
      </c>
      <c r="G26" s="148">
        <v>1707356</v>
      </c>
      <c r="H26" s="148">
        <v>1834224</v>
      </c>
      <c r="I26" s="148">
        <v>2284817</v>
      </c>
      <c r="J26" s="148">
        <v>2634028</v>
      </c>
      <c r="K26" s="148"/>
      <c r="L26" s="148"/>
      <c r="M26" s="148"/>
    </row>
    <row r="27" spans="2:13" ht="13.9" x14ac:dyDescent="0.4">
      <c r="B27" s="96" t="s">
        <v>100</v>
      </c>
      <c r="C27" s="148">
        <v>796708</v>
      </c>
      <c r="D27" s="148">
        <v>780002</v>
      </c>
      <c r="E27" s="148">
        <v>748422</v>
      </c>
      <c r="F27" s="148">
        <v>643444</v>
      </c>
      <c r="G27" s="148">
        <v>489743</v>
      </c>
      <c r="H27" s="148">
        <v>475518</v>
      </c>
      <c r="I27" s="148">
        <v>481847</v>
      </c>
      <c r="J27" s="148">
        <v>501814</v>
      </c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238</v>
      </c>
      <c r="C29" s="148">
        <v>13663</v>
      </c>
      <c r="D29" s="148">
        <v>14612</v>
      </c>
      <c r="E29" s="148">
        <v>12033</v>
      </c>
      <c r="F29" s="148">
        <v>10203</v>
      </c>
      <c r="G29" s="148">
        <v>14210</v>
      </c>
      <c r="H29" s="148">
        <v>1959</v>
      </c>
      <c r="I29" s="148">
        <v>1843</v>
      </c>
      <c r="J29" s="148">
        <v>3730</v>
      </c>
      <c r="K29" s="148"/>
      <c r="L29" s="148"/>
      <c r="M29" s="148"/>
    </row>
    <row r="30" spans="2:13" ht="13.9" x14ac:dyDescent="0.4">
      <c r="B30" s="98" t="s">
        <v>107</v>
      </c>
      <c r="C30" s="148">
        <v>662</v>
      </c>
      <c r="D30" s="148">
        <v>92</v>
      </c>
      <c r="E30" s="148">
        <v>402</v>
      </c>
      <c r="F30" s="148">
        <v>-632</v>
      </c>
      <c r="G30" s="148">
        <v>-1192</v>
      </c>
      <c r="H30" s="148">
        <v>-60</v>
      </c>
      <c r="I30" s="148">
        <v>-78</v>
      </c>
      <c r="J30" s="148">
        <v>-286</v>
      </c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v>0</v>
      </c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0</v>
      </c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0</v>
      </c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f>0.061+0.058+0.185</f>
        <v>0.30399999999999999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234</v>
      </c>
      <c r="C45" s="150">
        <f>IF(C44="","",C44*Exchange_Rate/Dashboard!$G$3)</f>
        <v>0.08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/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/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66</v>
      </c>
      <c r="C65" s="59"/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4">
        <v>5</v>
      </c>
    </row>
    <row r="87" spans="2:8" ht="13.9" x14ac:dyDescent="0.4">
      <c r="B87" s="10" t="s">
        <v>232</v>
      </c>
      <c r="C87" s="231" t="s">
        <v>275</v>
      </c>
      <c r="D87" s="264">
        <v>0.02</v>
      </c>
    </row>
    <row r="89" spans="2:8" ht="13.5" x14ac:dyDescent="0.35">
      <c r="B89" s="105" t="s">
        <v>122</v>
      </c>
      <c r="C89" s="284">
        <f>C24</f>
        <v>45382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3638758</v>
      </c>
      <c r="D91" s="204"/>
      <c r="E91" s="246">
        <f>C91*0.7</f>
        <v>2547130.5999999996</v>
      </c>
      <c r="F91" s="246">
        <f>C91*0.8</f>
        <v>2911006.4000000004</v>
      </c>
    </row>
    <row r="92" spans="2:8" ht="13.9" x14ac:dyDescent="0.4">
      <c r="B92" s="103" t="s">
        <v>102</v>
      </c>
      <c r="C92" s="77">
        <f>C26</f>
        <v>2488028</v>
      </c>
      <c r="D92" s="156">
        <f>C92/C91</f>
        <v>0.68375747988736812</v>
      </c>
      <c r="E92" s="247">
        <f>E91*D92</f>
        <v>1741619.5999999996</v>
      </c>
      <c r="F92" s="247">
        <f>F91*D92</f>
        <v>1990422.4000000001</v>
      </c>
    </row>
    <row r="93" spans="2:8" ht="13.9" x14ac:dyDescent="0.4">
      <c r="B93" s="103" t="s">
        <v>231</v>
      </c>
      <c r="C93" s="77">
        <f>C27+C28</f>
        <v>796708</v>
      </c>
      <c r="D93" s="156">
        <f>C93/C91</f>
        <v>0.21895053202218998</v>
      </c>
      <c r="E93" s="247">
        <f>E91*D93</f>
        <v>557695.59999999986</v>
      </c>
      <c r="F93" s="247">
        <f>F91*D93</f>
        <v>637366.4</v>
      </c>
    </row>
    <row r="94" spans="2:8" ht="13.9" x14ac:dyDescent="0.4">
      <c r="B94" s="103" t="s">
        <v>238</v>
      </c>
      <c r="C94" s="77">
        <f>C29</f>
        <v>13663</v>
      </c>
      <c r="D94" s="156">
        <f>C94/C91</f>
        <v>3.7548526172941428E-3</v>
      </c>
      <c r="E94" s="248"/>
      <c r="F94" s="247">
        <f>F91*D94</f>
        <v>10930.400000000001</v>
      </c>
    </row>
    <row r="95" spans="2:8" ht="13.9" x14ac:dyDescent="0.4">
      <c r="B95" s="28" t="s">
        <v>230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882.66666666666663</v>
      </c>
      <c r="D97" s="156">
        <f>C97/C91</f>
        <v>2.4257361073934199E-4</v>
      </c>
      <c r="E97" s="248"/>
      <c r="F97" s="247">
        <f>F91*D97</f>
        <v>706.13333333333333</v>
      </c>
    </row>
    <row r="98" spans="2:7" ht="13.9" x14ac:dyDescent="0.4">
      <c r="B98" s="85" t="s">
        <v>193</v>
      </c>
      <c r="C98" s="232">
        <f>C44</f>
        <v>0.30399999999999999</v>
      </c>
      <c r="D98" s="261"/>
      <c r="E98" s="249">
        <f>F98*0.9</f>
        <v>0.21887999999999999</v>
      </c>
      <c r="F98" s="249">
        <f>C98*0.8</f>
        <v>0.2432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0398.HK : 東方表行集團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0398.HK</v>
      </c>
      <c r="D3" s="291"/>
      <c r="E3" s="86"/>
      <c r="F3" s="3" t="s">
        <v>1</v>
      </c>
      <c r="G3" s="130">
        <v>3.8</v>
      </c>
      <c r="H3" s="132" t="s">
        <v>276</v>
      </c>
    </row>
    <row r="4" spans="1:10" ht="15.75" customHeight="1" x14ac:dyDescent="0.4">
      <c r="B4" s="35" t="s">
        <v>181</v>
      </c>
      <c r="C4" s="292" t="str">
        <f>Inputs!C5</f>
        <v>東方表行集團</v>
      </c>
      <c r="D4" s="293"/>
      <c r="E4" s="86"/>
      <c r="F4" s="3" t="s">
        <v>3</v>
      </c>
      <c r="G4" s="296">
        <f>Inputs!C10</f>
        <v>487358224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45619</v>
      </c>
      <c r="D5" s="295"/>
      <c r="E5" s="34"/>
      <c r="F5" s="35" t="s">
        <v>96</v>
      </c>
      <c r="G5" s="288">
        <f>G3*G4/1000000</f>
        <v>1851.9612511999999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Tier 3</v>
      </c>
      <c r="D7" s="184" t="str">
        <f>Inputs!C9</f>
        <v>C0003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235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HK</v>
      </c>
      <c r="F16" s="109" t="s">
        <v>166</v>
      </c>
    </row>
    <row r="17" spans="1:8" ht="15.75" customHeight="1" thickTop="1" x14ac:dyDescent="0.4">
      <c r="B17" s="86" t="s">
        <v>236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249</v>
      </c>
      <c r="C20" s="271" t="e">
        <f>C21*C22*C23</f>
        <v>#DIV/0!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9.70494144797025E-2</v>
      </c>
      <c r="F21" s="86"/>
      <c r="G21" s="29"/>
    </row>
    <row r="22" spans="1:8" ht="15.75" customHeight="1" x14ac:dyDescent="0.4">
      <c r="B22" s="273" t="s">
        <v>261</v>
      </c>
      <c r="C22" s="274" t="e">
        <f>Data!C48</f>
        <v>#DIV/0!</v>
      </c>
      <c r="F22" s="140" t="s">
        <v>171</v>
      </c>
    </row>
    <row r="23" spans="1:8" ht="15.75" customHeight="1" thickBot="1" x14ac:dyDescent="0.45">
      <c r="B23" s="275" t="s">
        <v>267</v>
      </c>
      <c r="C23" s="282" t="e">
        <f>1/Data!C53</f>
        <v>#DIV/0!</v>
      </c>
      <c r="F23" s="138" t="s">
        <v>175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255</v>
      </c>
      <c r="C24" s="281">
        <f>Fin_Analysis!I81</f>
        <v>3.7548526172941428E-3</v>
      </c>
      <c r="F24" s="138" t="s">
        <v>240</v>
      </c>
      <c r="G24" s="263">
        <f>G3/(Fin_Analysis!H86*G7)</f>
        <v>9.0922452679568178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162</v>
      </c>
      <c r="G25" s="168">
        <f>Fin_Analysis!I88</f>
        <v>0.5819036971492364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179</v>
      </c>
      <c r="G26" s="175">
        <f>Fin_Analysis!H88*Exchange_Rate/G3</f>
        <v>6.4000000000000001E-2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239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2.1652937400780172</v>
      </c>
      <c r="D29" s="127">
        <f>G29*(1+G20)</f>
        <v>4.2691630906715181</v>
      </c>
      <c r="E29" s="86"/>
      <c r="F29" s="129">
        <f>IF(Fin_Analysis!C108="Profit",Fin_Analysis!F100,IF(Fin_Analysis!C108="Dividend",Fin_Analysis!F103,Fin_Analysis!F106))</f>
        <v>2.5474044000917848</v>
      </c>
      <c r="G29" s="287">
        <f>IF(Fin_Analysis!C108="Profit",Fin_Analysis!I100,IF(Fin_Analysis!C108="Dividend",Fin_Analysis!I103,Fin_Analysis!I106))</f>
        <v>3.712315731018712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Strongly agree</v>
      </c>
    </row>
    <row r="34" spans="1:3" ht="15.75" customHeight="1" x14ac:dyDescent="0.4">
      <c r="A34"/>
      <c r="B34" s="19" t="s">
        <v>210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agree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agree</v>
      </c>
    </row>
    <row r="40" spans="1:3" ht="15.75" customHeight="1" x14ac:dyDescent="0.4">
      <c r="A40"/>
      <c r="B40" s="1" t="s">
        <v>216</v>
      </c>
      <c r="C40" s="240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45382</v>
      </c>
      <c r="E3" s="144" t="s">
        <v>186</v>
      </c>
      <c r="F3" s="84">
        <f>H14</f>
        <v>127442</v>
      </c>
      <c r="G3" s="84">
        <f>C14</f>
        <v>353139.33333333331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>
        <f>(G3/F3)^(1/H3)-1</f>
        <v>0.18514708429375548</v>
      </c>
      <c r="J4" s="86"/>
    </row>
    <row r="5" spans="1:14" ht="15.75" customHeight="1" x14ac:dyDescent="0.4">
      <c r="A5" s="16"/>
      <c r="B5" s="114" t="s">
        <v>128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3" t="s">
        <v>12</v>
      </c>
      <c r="C6" s="197">
        <f>IF(Inputs!C25=""," ",Inputs!C25)</f>
        <v>3638758</v>
      </c>
      <c r="D6" s="197">
        <f>IF(Inputs!D25="","",Inputs!D25)</f>
        <v>3704677</v>
      </c>
      <c r="E6" s="197">
        <f>IF(Inputs!E25="","",Inputs!E25)</f>
        <v>3639774</v>
      </c>
      <c r="F6" s="197">
        <f>IF(Inputs!F25="","",Inputs!F25)</f>
        <v>3504022</v>
      </c>
      <c r="G6" s="197">
        <f>IF(Inputs!G25="","",Inputs!G25)</f>
        <v>2352683</v>
      </c>
      <c r="H6" s="197">
        <f>IF(Inputs!H25="","",Inputs!H25)</f>
        <v>2437184</v>
      </c>
      <c r="I6" s="197">
        <f>IF(Inputs!I25="","",Inputs!I25)</f>
        <v>2891692</v>
      </c>
      <c r="J6" s="197">
        <f>IF(Inputs!J25="","",Inputs!J25)</f>
        <v>3142295</v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-1.7793454058208091E-2</v>
      </c>
      <c r="D7" s="91">
        <f t="shared" si="1"/>
        <v>1.7831601632409155E-2</v>
      </c>
      <c r="E7" s="91">
        <f t="shared" si="1"/>
        <v>3.8741765890739188E-2</v>
      </c>
      <c r="F7" s="91">
        <f t="shared" si="1"/>
        <v>0.48937277142734481</v>
      </c>
      <c r="G7" s="91">
        <f t="shared" si="1"/>
        <v>-3.467157178120317E-2</v>
      </c>
      <c r="H7" s="91">
        <f t="shared" si="1"/>
        <v>-0.15717718207886588</v>
      </c>
      <c r="I7" s="91">
        <f t="shared" si="1"/>
        <v>-7.9751582839930668E-2</v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2488028</v>
      </c>
      <c r="D8" s="196">
        <f>IF(Inputs!D26="","",Inputs!D26)</f>
        <v>2515967</v>
      </c>
      <c r="E8" s="196">
        <f>IF(Inputs!E26="","",Inputs!E26)</f>
        <v>2459489</v>
      </c>
      <c r="F8" s="196">
        <f>IF(Inputs!F26="","",Inputs!F26)</f>
        <v>2541906</v>
      </c>
      <c r="G8" s="196">
        <f>IF(Inputs!G26="","",Inputs!G26)</f>
        <v>1707356</v>
      </c>
      <c r="H8" s="196">
        <f>IF(Inputs!H26="","",Inputs!H26)</f>
        <v>1834224</v>
      </c>
      <c r="I8" s="196">
        <f>IF(Inputs!I26="","",Inputs!I26)</f>
        <v>2284817</v>
      </c>
      <c r="J8" s="196">
        <f>IF(Inputs!J26="","",Inputs!J26)</f>
        <v>2634028</v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1150730</v>
      </c>
      <c r="D9" s="149">
        <f t="shared" si="2"/>
        <v>1188710</v>
      </c>
      <c r="E9" s="149">
        <f t="shared" si="2"/>
        <v>1180285</v>
      </c>
      <c r="F9" s="149">
        <f t="shared" si="2"/>
        <v>962116</v>
      </c>
      <c r="G9" s="149">
        <f t="shared" si="2"/>
        <v>645327</v>
      </c>
      <c r="H9" s="149">
        <f t="shared" si="2"/>
        <v>602960</v>
      </c>
      <c r="I9" s="149">
        <f t="shared" si="2"/>
        <v>606875</v>
      </c>
      <c r="J9" s="149">
        <f t="shared" si="2"/>
        <v>508267</v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796708</v>
      </c>
      <c r="D10" s="196">
        <f>IF(Inputs!D27="","",Inputs!D27)</f>
        <v>780002</v>
      </c>
      <c r="E10" s="196">
        <f>IF(Inputs!E27="","",Inputs!E27)</f>
        <v>748422</v>
      </c>
      <c r="F10" s="196">
        <f>IF(Inputs!F27="","",Inputs!F27)</f>
        <v>643444</v>
      </c>
      <c r="G10" s="196">
        <f>IF(Inputs!G27="","",Inputs!G27)</f>
        <v>489743</v>
      </c>
      <c r="H10" s="196">
        <f>IF(Inputs!H27="","",Inputs!H27)</f>
        <v>475518</v>
      </c>
      <c r="I10" s="196">
        <f>IF(Inputs!I27="","",Inputs!I27)</f>
        <v>481847</v>
      </c>
      <c r="J10" s="196">
        <f>IF(Inputs!J27="","",Inputs!J27)</f>
        <v>501814</v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882.66666666666663</v>
      </c>
      <c r="D12" s="196">
        <f>IF(Inputs!D30="","",MAX(Inputs!D30,0)/(1-Fin_Analysis!$I$84))</f>
        <v>122.66666666666667</v>
      </c>
      <c r="E12" s="196">
        <f>IF(Inputs!E30="","",MAX(Inputs!E30,0)/(1-Fin_Analysis!$I$84))</f>
        <v>536</v>
      </c>
      <c r="F12" s="196">
        <f>IF(Inputs!F30="","",MAX(Inputs!F30,0)/(1-Fin_Analysis!$I$84))</f>
        <v>0</v>
      </c>
      <c r="G12" s="196">
        <f>IF(Inputs!G30="","",MAX(Inputs!G30,0)/(1-Fin_Analysis!$I$84))</f>
        <v>0</v>
      </c>
      <c r="H12" s="196">
        <f>IF(Inputs!H30="","",MAX(Inputs!H30,0)/(1-Fin_Analysis!$I$84))</f>
        <v>0</v>
      </c>
      <c r="I12" s="196">
        <f>IF(Inputs!I30="","",MAX(Inputs!I30,0)/(1-Fin_Analysis!$I$84))</f>
        <v>0</v>
      </c>
      <c r="J12" s="196">
        <f>IF(Inputs!J30="","",MAX(Inputs!J30,0)/(1-Fin_Analysis!$I$84))</f>
        <v>0</v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9.70494144797025E-2</v>
      </c>
      <c r="D13" s="224">
        <f t="shared" si="3"/>
        <v>0.11028905713867453</v>
      </c>
      <c r="E13" s="224">
        <f t="shared" si="3"/>
        <v>0.11850378622408973</v>
      </c>
      <c r="F13" s="224">
        <f t="shared" si="3"/>
        <v>9.0944634480034661E-2</v>
      </c>
      <c r="G13" s="224">
        <f t="shared" si="3"/>
        <v>6.6130456164302631E-2</v>
      </c>
      <c r="H13" s="224">
        <f t="shared" si="3"/>
        <v>5.2290676452824245E-2</v>
      </c>
      <c r="I13" s="224">
        <f t="shared" si="3"/>
        <v>4.3236969912424976E-2</v>
      </c>
      <c r="J13" s="224">
        <f t="shared" si="3"/>
        <v>2.0535945861225634E-3</v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353139.33333333331</v>
      </c>
      <c r="D14" s="225">
        <f t="shared" ref="D14:M14" si="4">IF(D6="","",D9-D10-MAX(D11,0)-MAX(D12,0))</f>
        <v>408585.33333333331</v>
      </c>
      <c r="E14" s="225">
        <f t="shared" si="4"/>
        <v>431327</v>
      </c>
      <c r="F14" s="225">
        <f t="shared" si="4"/>
        <v>318672</v>
      </c>
      <c r="G14" s="225">
        <f t="shared" si="4"/>
        <v>155584</v>
      </c>
      <c r="H14" s="225">
        <f t="shared" si="4"/>
        <v>127442</v>
      </c>
      <c r="I14" s="225">
        <f t="shared" si="4"/>
        <v>125028</v>
      </c>
      <c r="J14" s="225">
        <f t="shared" si="4"/>
        <v>6453</v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-0.13570237469773758</v>
      </c>
      <c r="D15" s="227">
        <f t="shared" ref="D15:M15" si="5">IF(E14="","",IF(ABS(D14+E14)=ABS(D14)+ABS(E14),IF(D14&lt;0,-1,1)*(D14-E14)/E14,"Turn"))</f>
        <v>-5.272488545040465E-2</v>
      </c>
      <c r="E15" s="227">
        <f t="shared" si="5"/>
        <v>0.35351395792539037</v>
      </c>
      <c r="F15" s="227">
        <f t="shared" si="5"/>
        <v>1.0482311805841218</v>
      </c>
      <c r="G15" s="227">
        <f t="shared" si="5"/>
        <v>0.22082202099778722</v>
      </c>
      <c r="H15" s="227">
        <f t="shared" si="5"/>
        <v>1.9307675080781905E-2</v>
      </c>
      <c r="I15" s="227">
        <f t="shared" si="5"/>
        <v>18.375174337517432</v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238</v>
      </c>
      <c r="C17" s="196">
        <f>IF(Inputs!C29="","",Inputs!C29)</f>
        <v>13663</v>
      </c>
      <c r="D17" s="196">
        <f>IF(Inputs!D29="","",Inputs!D29)</f>
        <v>14612</v>
      </c>
      <c r="E17" s="196">
        <f>IF(Inputs!E29="","",Inputs!E29)</f>
        <v>12033</v>
      </c>
      <c r="F17" s="196">
        <f>IF(Inputs!F29="","",Inputs!F29)</f>
        <v>10203</v>
      </c>
      <c r="G17" s="196">
        <f>IF(Inputs!G29="","",Inputs!G29)</f>
        <v>14210</v>
      </c>
      <c r="H17" s="196">
        <f>IF(Inputs!H29="","",Inputs!H29)</f>
        <v>1959</v>
      </c>
      <c r="I17" s="196">
        <f>IF(Inputs!I29="","",Inputs!I29)</f>
        <v>1843</v>
      </c>
      <c r="J17" s="196">
        <f>IF(Inputs!J29="","",Inputs!J29)</f>
        <v>3730</v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>
        <f t="shared" si="7"/>
        <v>0</v>
      </c>
      <c r="H20" s="150">
        <f t="shared" si="7"/>
        <v>0</v>
      </c>
      <c r="I20" s="150">
        <f t="shared" si="7"/>
        <v>0</v>
      </c>
      <c r="J20" s="150">
        <f t="shared" si="7"/>
        <v>0</v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339476.33333333331</v>
      </c>
      <c r="D22" s="158">
        <f t="shared" ref="D22:M22" si="8">IF(D6="","",D14-MAX(D16,0)-MAX(D17,0)-ABS(MAX(D21,0)-MAX(D19,0)))</f>
        <v>393973.33333333331</v>
      </c>
      <c r="E22" s="158">
        <f t="shared" si="8"/>
        <v>419294</v>
      </c>
      <c r="F22" s="158">
        <f t="shared" si="8"/>
        <v>308469</v>
      </c>
      <c r="G22" s="158">
        <f t="shared" si="8"/>
        <v>141374</v>
      </c>
      <c r="H22" s="158">
        <f t="shared" si="8"/>
        <v>125483</v>
      </c>
      <c r="I22" s="158">
        <f t="shared" si="8"/>
        <v>123185</v>
      </c>
      <c r="J22" s="158">
        <f t="shared" si="8"/>
        <v>2723</v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6.9970921396806274E-2</v>
      </c>
      <c r="D23" s="151">
        <f t="shared" si="9"/>
        <v>7.9758640226934768E-2</v>
      </c>
      <c r="E23" s="151">
        <f t="shared" si="9"/>
        <v>8.6398358799200173E-2</v>
      </c>
      <c r="F23" s="151">
        <f t="shared" si="9"/>
        <v>6.6024628270027988E-2</v>
      </c>
      <c r="G23" s="151">
        <f t="shared" si="9"/>
        <v>4.5067907576158792E-2</v>
      </c>
      <c r="H23" s="151">
        <f t="shared" si="9"/>
        <v>3.8615159955095714E-2</v>
      </c>
      <c r="I23" s="151">
        <f t="shared" si="9"/>
        <v>3.1949720094671216E-2</v>
      </c>
      <c r="J23" s="151">
        <f t="shared" si="9"/>
        <v>6.4992306578472105E-4</v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254607.25</v>
      </c>
      <c r="D24" s="77">
        <f>IF(D6="","",D22*(1-Fin_Analysis!$I$84))</f>
        <v>295480</v>
      </c>
      <c r="E24" s="77">
        <f>IF(E6="","",E22*(1-Fin_Analysis!$I$84))</f>
        <v>314470.5</v>
      </c>
      <c r="F24" s="77">
        <f>IF(F6="","",F22*(1-Fin_Analysis!$I$84))</f>
        <v>231351.75</v>
      </c>
      <c r="G24" s="77">
        <f>IF(G6="","",G22*(1-Fin_Analysis!$I$84))</f>
        <v>106030.5</v>
      </c>
      <c r="H24" s="77">
        <f>IF(H6="","",H22*(1-Fin_Analysis!$I$84))</f>
        <v>94112.25</v>
      </c>
      <c r="I24" s="77">
        <f>IF(I6="","",I22*(1-Fin_Analysis!$I$84))</f>
        <v>92388.75</v>
      </c>
      <c r="J24" s="77">
        <f>IF(J6="","",J22*(1-Fin_Analysis!$I$84))</f>
        <v>2042.25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-0.13832662109110599</v>
      </c>
      <c r="D25" s="228">
        <f t="shared" ref="D25:M25" si="10">IF(E24="","",IF(ABS(D24+E24)=ABS(D24)+ABS(E24),IF(D24&lt;0,-1,1)*(D24-E24)/E24,"Turn"))</f>
        <v>-6.0388812305128783E-2</v>
      </c>
      <c r="E25" s="228">
        <f t="shared" si="10"/>
        <v>0.35927435171767663</v>
      </c>
      <c r="F25" s="228">
        <f t="shared" si="10"/>
        <v>1.1819358580785717</v>
      </c>
      <c r="G25" s="228">
        <f t="shared" si="10"/>
        <v>0.12663866818612879</v>
      </c>
      <c r="H25" s="228">
        <f t="shared" si="10"/>
        <v>1.8654868693428583E-2</v>
      </c>
      <c r="I25" s="228">
        <f t="shared" si="10"/>
        <v>44.238707308116048</v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0.68375747988736812</v>
      </c>
      <c r="D40" s="154">
        <f t="shared" si="34"/>
        <v>0.67913262073859615</v>
      </c>
      <c r="E40" s="154">
        <f t="shared" si="34"/>
        <v>0.67572574560948018</v>
      </c>
      <c r="F40" s="154">
        <f t="shared" si="34"/>
        <v>0.72542523991002339</v>
      </c>
      <c r="G40" s="154">
        <f t="shared" si="34"/>
        <v>0.72570592808295886</v>
      </c>
      <c r="H40" s="154">
        <f t="shared" si="34"/>
        <v>0.75259972164596523</v>
      </c>
      <c r="I40" s="154">
        <f t="shared" si="34"/>
        <v>0.79013152161433509</v>
      </c>
      <c r="J40" s="154">
        <f t="shared" si="34"/>
        <v>0.83824975058038786</v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0.21895053202218998</v>
      </c>
      <c r="D41" s="151">
        <f t="shared" si="35"/>
        <v>0.21054521082404754</v>
      </c>
      <c r="E41" s="151">
        <f t="shared" si="35"/>
        <v>0.20562320627599406</v>
      </c>
      <c r="F41" s="151">
        <f t="shared" si="35"/>
        <v>0.18363012560994194</v>
      </c>
      <c r="G41" s="151">
        <f t="shared" si="35"/>
        <v>0.20816361575273848</v>
      </c>
      <c r="H41" s="151">
        <f t="shared" si="35"/>
        <v>0.19510960190121057</v>
      </c>
      <c r="I41" s="151">
        <f t="shared" si="35"/>
        <v>0.16663150847323988</v>
      </c>
      <c r="J41" s="151">
        <f t="shared" si="35"/>
        <v>0.15969665483348955</v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>
        <f t="shared" si="36"/>
        <v>0</v>
      </c>
      <c r="J42" s="151">
        <f t="shared" si="36"/>
        <v>0</v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3.7548526172941428E-3</v>
      </c>
      <c r="D43" s="151">
        <f t="shared" si="37"/>
        <v>3.9442035027615089E-3</v>
      </c>
      <c r="E43" s="151">
        <f t="shared" si="37"/>
        <v>3.3059744918228439E-3</v>
      </c>
      <c r="F43" s="151">
        <f t="shared" si="37"/>
        <v>2.9117967866640108E-3</v>
      </c>
      <c r="G43" s="151">
        <f t="shared" si="37"/>
        <v>6.039912729424236E-3</v>
      </c>
      <c r="H43" s="151">
        <f t="shared" si="37"/>
        <v>8.0379651269662036E-4</v>
      </c>
      <c r="I43" s="151">
        <f t="shared" si="37"/>
        <v>6.3734311953001909E-4</v>
      </c>
      <c r="J43" s="151">
        <f t="shared" si="37"/>
        <v>1.1870304984096019E-3</v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2.4257361073934199E-4</v>
      </c>
      <c r="D44" s="151">
        <f t="shared" si="38"/>
        <v>3.3111298681819405E-5</v>
      </c>
      <c r="E44" s="151">
        <f t="shared" si="38"/>
        <v>1.4726189043605455E-4</v>
      </c>
      <c r="F44" s="151">
        <f t="shared" si="38"/>
        <v>0</v>
      </c>
      <c r="G44" s="151">
        <f t="shared" si="38"/>
        <v>0</v>
      </c>
      <c r="H44" s="151">
        <f t="shared" si="38"/>
        <v>0</v>
      </c>
      <c r="I44" s="151">
        <f t="shared" si="38"/>
        <v>0</v>
      </c>
      <c r="J44" s="151">
        <f t="shared" si="38"/>
        <v>0</v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>
        <f t="shared" si="39"/>
        <v>0</v>
      </c>
      <c r="I45" s="151">
        <f t="shared" si="39"/>
        <v>0</v>
      </c>
      <c r="J45" s="151">
        <f t="shared" si="39"/>
        <v>0</v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9.3294561862408365E-2</v>
      </c>
      <c r="D46" s="151">
        <f t="shared" si="40"/>
        <v>0.10634485363591302</v>
      </c>
      <c r="E46" s="151">
        <f t="shared" si="40"/>
        <v>0.1151978117322669</v>
      </c>
      <c r="F46" s="151">
        <f t="shared" si="40"/>
        <v>8.8032837693370641E-2</v>
      </c>
      <c r="G46" s="151">
        <f t="shared" si="40"/>
        <v>6.0090543434878393E-2</v>
      </c>
      <c r="H46" s="151">
        <f t="shared" si="40"/>
        <v>5.1486879940127621E-2</v>
      </c>
      <c r="I46" s="151">
        <f t="shared" si="40"/>
        <v>4.2599626792894953E-2</v>
      </c>
      <c r="J46" s="151">
        <f t="shared" si="40"/>
        <v>8.6656408771296136E-4</v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e">
        <f t="shared" si="41"/>
        <v>#VALUE!</v>
      </c>
      <c r="H48" s="267" t="e">
        <f t="shared" si="41"/>
        <v>#VALUE!</v>
      </c>
      <c r="I48" s="267" t="e">
        <f t="shared" si="41"/>
        <v>#VALUE!</v>
      </c>
      <c r="J48" s="267" t="e">
        <f t="shared" si="41"/>
        <v>#VALUE!</v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e">
        <f t="shared" si="44"/>
        <v>#VALUE!</v>
      </c>
      <c r="H51" s="151" t="e">
        <f t="shared" si="44"/>
        <v>#VALUE!</v>
      </c>
      <c r="I51" s="151" t="e">
        <f t="shared" si="44"/>
        <v>#VALUE!</v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4.0247282824821366E-2</v>
      </c>
      <c r="D55" s="151">
        <f t="shared" si="47"/>
        <v>3.7088804656829566E-2</v>
      </c>
      <c r="E55" s="151">
        <f t="shared" si="47"/>
        <v>2.8698240375488321E-2</v>
      </c>
      <c r="F55" s="151">
        <f t="shared" si="47"/>
        <v>3.307625725761746E-2</v>
      </c>
      <c r="G55" s="151">
        <f t="shared" si="47"/>
        <v>0.10051353148386549</v>
      </c>
      <c r="H55" s="151">
        <f t="shared" si="47"/>
        <v>1.5611676482073268E-2</v>
      </c>
      <c r="I55" s="151">
        <f t="shared" si="47"/>
        <v>1.49612371636157E-2</v>
      </c>
      <c r="J55" s="151">
        <f t="shared" si="47"/>
        <v>1.3698127065736321</v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e">
        <f t="shared" si="49"/>
        <v>#VALUE!</v>
      </c>
      <c r="I58" s="269" t="e">
        <f t="shared" si="49"/>
        <v>#VALUE!</v>
      </c>
      <c r="J58" s="269" t="e">
        <f t="shared" si="49"/>
        <v>#VALUE!</v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e">
        <f t="shared" si="50"/>
        <v>#VALUE!</v>
      </c>
      <c r="I59" s="269" t="e">
        <f t="shared" si="50"/>
        <v>#VALUE!</v>
      </c>
      <c r="J59" s="269" t="e">
        <f t="shared" si="50"/>
        <v>#VALUE!</v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0</v>
      </c>
      <c r="K3" s="24"/>
    </row>
    <row r="4" spans="1:11" ht="15" customHeight="1" x14ac:dyDescent="0.4">
      <c r="B4" s="3" t="s">
        <v>23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26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45382</v>
      </c>
      <c r="E9" s="117" t="str">
        <f>IF(MONTH(D9)=MONTH(Data!C3),"FY","Quarter")</f>
        <v>FY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0</v>
      </c>
      <c r="J12" s="86"/>
      <c r="K12" s="24"/>
    </row>
    <row r="13" spans="1:11" ht="13.9" x14ac:dyDescent="0.4">
      <c r="B13" s="3" t="s">
        <v>112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0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0</v>
      </c>
      <c r="J34" s="86"/>
    </row>
    <row r="35" spans="2:10" ht="13.9" x14ac:dyDescent="0.4">
      <c r="B35" s="3" t="s">
        <v>66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81</v>
      </c>
      <c r="I48" s="277">
        <f>I49-I28</f>
        <v>0</v>
      </c>
      <c r="J48" s="8"/>
    </row>
    <row r="49" spans="2:11" ht="15" customHeight="1" thickTop="1" x14ac:dyDescent="0.4">
      <c r="B49" s="3" t="s">
        <v>14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82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45382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3638758</v>
      </c>
      <c r="D74" s="204"/>
      <c r="E74" s="233">
        <f>Inputs!E91</f>
        <v>2547130.5999999996</v>
      </c>
      <c r="F74" s="204"/>
      <c r="H74" s="233">
        <f>Inputs!F91</f>
        <v>2911006.4000000004</v>
      </c>
      <c r="I74" s="204"/>
      <c r="K74" s="24"/>
    </row>
    <row r="75" spans="1:11" ht="15" customHeight="1" x14ac:dyDescent="0.4">
      <c r="B75" s="103" t="s">
        <v>102</v>
      </c>
      <c r="C75" s="77">
        <f>Data!C8</f>
        <v>2488028</v>
      </c>
      <c r="D75" s="156">
        <f>C75/$C$74</f>
        <v>0.68375747988736812</v>
      </c>
      <c r="E75" s="233">
        <f>Inputs!E92</f>
        <v>1741619.5999999996</v>
      </c>
      <c r="F75" s="157">
        <f>E75/E74</f>
        <v>0.68375747988736812</v>
      </c>
      <c r="H75" s="233">
        <f>Inputs!F92</f>
        <v>1990422.4000000001</v>
      </c>
      <c r="I75" s="157">
        <f>H75/$H$74</f>
        <v>0.68375747988736812</v>
      </c>
      <c r="K75" s="24"/>
    </row>
    <row r="76" spans="1:11" ht="15" customHeight="1" x14ac:dyDescent="0.4">
      <c r="B76" s="35" t="s">
        <v>92</v>
      </c>
      <c r="C76" s="158">
        <f>C74-C75</f>
        <v>1150730</v>
      </c>
      <c r="D76" s="205"/>
      <c r="E76" s="159">
        <f>E74-E75</f>
        <v>805511</v>
      </c>
      <c r="F76" s="205"/>
      <c r="H76" s="159">
        <f>H74-H75</f>
        <v>920584.00000000023</v>
      </c>
      <c r="I76" s="205"/>
      <c r="K76" s="24"/>
    </row>
    <row r="77" spans="1:11" ht="15" customHeight="1" x14ac:dyDescent="0.4">
      <c r="B77" s="103" t="s">
        <v>231</v>
      </c>
      <c r="C77" s="77">
        <f>Data!C10+MAX(Data!C11,0)</f>
        <v>796708</v>
      </c>
      <c r="D77" s="156">
        <f>C77/$C$74</f>
        <v>0.21895053202218998</v>
      </c>
      <c r="E77" s="233">
        <f>Inputs!E93</f>
        <v>557695.59999999986</v>
      </c>
      <c r="F77" s="157">
        <f>E77/E74</f>
        <v>0.21895053202218998</v>
      </c>
      <c r="H77" s="233">
        <f>Inputs!F93</f>
        <v>637366.4</v>
      </c>
      <c r="I77" s="157">
        <f>H77/$H$74</f>
        <v>0.21895053202218998</v>
      </c>
      <c r="K77" s="24"/>
    </row>
    <row r="78" spans="1:11" ht="15" customHeight="1" x14ac:dyDescent="0.4">
      <c r="B78" s="73" t="s">
        <v>161</v>
      </c>
      <c r="C78" s="77">
        <f>MAX(Data!C12,0)</f>
        <v>882.66666666666663</v>
      </c>
      <c r="D78" s="156">
        <f>C78/$C$74</f>
        <v>2.4257361073934199E-4</v>
      </c>
      <c r="E78" s="177">
        <f>E74*F78</f>
        <v>617.86666666666656</v>
      </c>
      <c r="F78" s="157">
        <f>I78</f>
        <v>2.4257361073934199E-4</v>
      </c>
      <c r="H78" s="233">
        <f>Inputs!F97</f>
        <v>706.13333333333333</v>
      </c>
      <c r="I78" s="157">
        <f>H78/$H$74</f>
        <v>2.4257361073934199E-4</v>
      </c>
      <c r="K78" s="24"/>
    </row>
    <row r="79" spans="1:11" ht="15" customHeight="1" x14ac:dyDescent="0.4">
      <c r="B79" s="251" t="s">
        <v>217</v>
      </c>
      <c r="C79" s="252">
        <f>C76-C77-C78</f>
        <v>353139.33333333331</v>
      </c>
      <c r="D79" s="253">
        <f>C79/C74</f>
        <v>9.70494144797025E-2</v>
      </c>
      <c r="E79" s="254">
        <f>E76-E77-E78</f>
        <v>247197.53333333347</v>
      </c>
      <c r="F79" s="253">
        <f>E79/E74</f>
        <v>9.704941447970257E-2</v>
      </c>
      <c r="G79" s="255"/>
      <c r="H79" s="254">
        <f>H76-H77-H78</f>
        <v>282511.46666666685</v>
      </c>
      <c r="I79" s="253">
        <f>H79/H74</f>
        <v>9.7049414479702556E-2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238</v>
      </c>
      <c r="C81" s="77">
        <f>MAX(Data!C17,0)</f>
        <v>13663</v>
      </c>
      <c r="D81" s="156">
        <f>C81/$C$74</f>
        <v>3.7548526172941428E-3</v>
      </c>
      <c r="E81" s="177">
        <f>E74*F81</f>
        <v>9564.0999999999985</v>
      </c>
      <c r="F81" s="157">
        <f>I81</f>
        <v>3.7548526172941428E-3</v>
      </c>
      <c r="H81" s="233">
        <f>Inputs!F94</f>
        <v>10930.400000000001</v>
      </c>
      <c r="I81" s="157">
        <f>H81/$H$74</f>
        <v>3.7548526172941428E-3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339476.33333333331</v>
      </c>
      <c r="D83" s="161">
        <f>C83/$C$74</f>
        <v>9.3294561862408365E-2</v>
      </c>
      <c r="E83" s="162">
        <f>E79-E81-E82-E80</f>
        <v>237633.43333333347</v>
      </c>
      <c r="F83" s="161">
        <f>E83/E74</f>
        <v>9.3294561862408434E-2</v>
      </c>
      <c r="H83" s="162">
        <f>H79-H81-H82-H80</f>
        <v>271581.06666666683</v>
      </c>
      <c r="I83" s="161">
        <f>H83/$H$74</f>
        <v>9.3294561862408407E-2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>
        <f>C83*(1-I84)</f>
        <v>254607.25</v>
      </c>
      <c r="D85" s="253">
        <f>C85/$C$74</f>
        <v>6.9970921396806274E-2</v>
      </c>
      <c r="E85" s="259">
        <f>E83*(1-F84)</f>
        <v>178225.0750000001</v>
      </c>
      <c r="F85" s="253">
        <f>E85/E74</f>
        <v>6.9970921396806315E-2</v>
      </c>
      <c r="G85" s="255"/>
      <c r="H85" s="259">
        <f>H83*(1-I84)</f>
        <v>203685.8000000001</v>
      </c>
      <c r="I85" s="253">
        <f>H85/$H$74</f>
        <v>6.9970921396806302E-2</v>
      </c>
      <c r="K85" s="24"/>
    </row>
    <row r="86" spans="1:11" ht="15" customHeight="1" x14ac:dyDescent="0.4">
      <c r="B86" s="86" t="s">
        <v>152</v>
      </c>
      <c r="C86" s="164">
        <f>C85*Data!C4/Common_Shares</f>
        <v>0.52242321451007256</v>
      </c>
      <c r="D86" s="204"/>
      <c r="E86" s="165">
        <f>E85*Data!C4/Common_Shares</f>
        <v>0.36569625015705098</v>
      </c>
      <c r="F86" s="204"/>
      <c r="H86" s="165">
        <f>H85*Data!C4/Common_Shares</f>
        <v>0.41793857160805831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0.13747979329212437</v>
      </c>
      <c r="D87" s="204"/>
      <c r="E87" s="257">
        <f>E86*Exchange_Rate/Dashboard!G3</f>
        <v>9.6235855304487111E-2</v>
      </c>
      <c r="F87" s="204"/>
      <c r="H87" s="257">
        <f>H86*Exchange_Rate/Dashboard!G3</f>
        <v>0.10998383463369955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0.30399999999999999</v>
      </c>
      <c r="D88" s="163">
        <f>C88/C86</f>
        <v>0.58190369714923673</v>
      </c>
      <c r="E88" s="167">
        <f>Inputs!E98</f>
        <v>0.21887999999999999</v>
      </c>
      <c r="F88" s="163">
        <f>E88/E86</f>
        <v>0.59852951706778601</v>
      </c>
      <c r="H88" s="167">
        <f>Inputs!F98</f>
        <v>0.2432</v>
      </c>
      <c r="I88" s="163">
        <f>H88/H86</f>
        <v>0.5819036971492364</v>
      </c>
      <c r="K88" s="24"/>
    </row>
    <row r="89" spans="1:11" ht="15" customHeight="1" x14ac:dyDescent="0.4">
      <c r="B89" s="86" t="s">
        <v>206</v>
      </c>
      <c r="C89" s="256">
        <f>C88*Exchange_Rate/Dashboard!G3</f>
        <v>0.08</v>
      </c>
      <c r="D89" s="204"/>
      <c r="E89" s="256">
        <f>E88*Exchange_Rate/Dashboard!G3</f>
        <v>5.7599999999999998E-2</v>
      </c>
      <c r="F89" s="204"/>
      <c r="H89" s="256">
        <f>H88*Exchange_Rate/Dashboard!G3</f>
        <v>6.4000000000000001E-2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HK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195</v>
      </c>
      <c r="F93" s="142">
        <f>FV(E87,D93,0,-(E86/(C93-D94)))*Exchange_Rate</f>
        <v>9.5496789016949535</v>
      </c>
      <c r="H93" s="86" t="s">
        <v>195</v>
      </c>
      <c r="I93" s="142">
        <f>FV(H87,D93,0,-(H86/(C93-D94)))*Exchange_Rate</f>
        <v>11.615662160934958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4.777069273428002</v>
      </c>
      <c r="H94" s="86" t="s">
        <v>196</v>
      </c>
      <c r="I94" s="142">
        <f>FV(H89,D93,0,-(H88/(C93-D94)))*Exchange_Rate</f>
        <v>5.4704110257594678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2814511.7717124848</v>
      </c>
      <c r="D97" s="208"/>
      <c r="E97" s="121">
        <f>PV(C94,D93,0,-F93)</f>
        <v>4.7478781794916554</v>
      </c>
      <c r="F97" s="208"/>
      <c r="H97" s="121">
        <f>PV(C94,D93,0,-I93)</f>
        <v>5.7750369915015218</v>
      </c>
      <c r="I97" s="121">
        <f>PV(C93,D93,0,-I93)</f>
        <v>7.8825896560946402</v>
      </c>
      <c r="K97" s="24"/>
    </row>
    <row r="98" spans="2:11" ht="15" customHeight="1" x14ac:dyDescent="0.4">
      <c r="B98" s="28" t="s">
        <v>139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140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2814511.7717124848</v>
      </c>
      <c r="D100" s="108">
        <f>MIN(F100*(1-C94),E100)</f>
        <v>4.4722389476720998</v>
      </c>
      <c r="E100" s="108">
        <f>MAX(E97+H98+E99,0)</f>
        <v>4.7478781794916554</v>
      </c>
      <c r="F100" s="108">
        <f>(E100+H100)/2</f>
        <v>5.2614575854965882</v>
      </c>
      <c r="H100" s="108">
        <f>MAX(C100*Data!$C$4/Common_Shares,0)</f>
        <v>5.7750369915015218</v>
      </c>
      <c r="I100" s="108">
        <f>MAX(I97+H98+H99,0)</f>
        <v>7.8825896560946402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1325497.9367329073</v>
      </c>
      <c r="D103" s="108">
        <f>MIN(F103*(1-C94),E103)</f>
        <v>2.1652937400780172</v>
      </c>
      <c r="E103" s="121">
        <f>PV(C94,D93,0,-F94)</f>
        <v>2.3750477056567076</v>
      </c>
      <c r="F103" s="108">
        <f>(E103+H103)/2</f>
        <v>2.5474044000917848</v>
      </c>
      <c r="H103" s="121">
        <f>PV(C94,D93,0,-I94)</f>
        <v>2.7197610945268615</v>
      </c>
      <c r="I103" s="108">
        <f>PV(C93,D93,0,-I94)</f>
        <v>3.712315731018712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1735708.2545347672</v>
      </c>
      <c r="D106" s="108">
        <f>(D100+D103)/2</f>
        <v>3.3187663438750583</v>
      </c>
      <c r="E106" s="121">
        <f>(E100+E103)/2</f>
        <v>3.5614629425741815</v>
      </c>
      <c r="F106" s="108">
        <f>(F100+F103)/2</f>
        <v>3.9044309927941865</v>
      </c>
      <c r="H106" s="121">
        <f>(H100+H103)/2</f>
        <v>4.2473990430141919</v>
      </c>
      <c r="I106" s="121">
        <f>(I100+I103)/2</f>
        <v>5.7974526935566759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