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B873188-5283-4D1A-AB2D-2B5D51071CBF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1" i="4"/>
  <c r="F92" i="4" s="1"/>
  <c r="E91" i="4"/>
  <c r="E93" i="4" s="1"/>
  <c r="D71" i="4"/>
  <c r="D69" i="4"/>
  <c r="D68" i="4"/>
  <c r="C68" i="4"/>
  <c r="D67" i="4"/>
  <c r="C65" i="4"/>
  <c r="C64" i="4"/>
  <c r="D62" i="4"/>
  <c r="D63" i="4" s="1"/>
  <c r="D61" i="4"/>
  <c r="C61" i="4"/>
  <c r="D60" i="4"/>
  <c r="D59" i="4"/>
  <c r="D58" i="4"/>
  <c r="D56" i="4"/>
  <c r="D55" i="4"/>
  <c r="D53" i="4"/>
  <c r="C51" i="4"/>
  <c r="B47" i="4" s="1"/>
  <c r="D50" i="4"/>
  <c r="C50" i="4"/>
  <c r="C48" i="4"/>
  <c r="D33" i="4"/>
  <c r="C33" i="4"/>
  <c r="D32" i="4"/>
  <c r="C32" i="4"/>
  <c r="D31" i="4"/>
  <c r="C31" i="4"/>
  <c r="D27" i="4"/>
  <c r="C27" i="4"/>
  <c r="C49" i="3"/>
  <c r="E56" i="2"/>
  <c r="H56" i="2"/>
  <c r="M56" i="2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6" i="4" l="1"/>
  <c r="E92" i="4"/>
  <c r="F97" i="4"/>
  <c r="G56" i="2"/>
  <c r="F56" i="2"/>
  <c r="L56" i="2"/>
  <c r="D56" i="2"/>
  <c r="K56" i="2"/>
  <c r="I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<sst xmlns="http://schemas.openxmlformats.org/spreadsheetml/2006/main" count="392" uniqueCount="276">
  <si>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</si>
  <si>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</si>
  <si>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</si>
  <si>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</si>
  <si>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</si>
  <si>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</si>
  <si>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</si>
  <si>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</si>
  <si>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</si>
  <si>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</si>
  <si>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</si>
  <si>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</si>
  <si>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</si>
  <si>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</si>
  <si>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</si>
  <si>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</si>
  <si>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</si>
  <si>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</si>
  <si>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</si>
  <si>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</si>
  <si>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</si>
  <si>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</si>
  <si>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</si>
  <si>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</si>
  <si>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</si>
  <si>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</si>
  <si>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</si>
  <si>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</si>
  <si>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</si>
  <si>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</si>
  <si>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</si>
  <si>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</si>
  <si>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</si>
  <si>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</si>
  <si>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</si>
  <si>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</si>
  <si>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</si>
  <si>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</si>
  <si>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</si>
  <si>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</si>
  <si>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</si>
  <si>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</si>
  <si>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</si>
  <si>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</si>
  <si>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</si>
  <si>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</si>
  <si>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</si>
  <si>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</si>
  <si>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</si>
  <si>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</si>
  <si>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</si>
  <si>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</si>
  <si>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</si>
  <si>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</si>
  <si>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</si>
  <si>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</si>
  <si>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</si>
  <si>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</si>
  <si>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</si>
  <si>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</si>
  <si>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</si>
  <si>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</si>
  <si>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</si>
  <si>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</si>
  <si>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</si>
  <si>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</si>
  <si>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</si>
  <si>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</si>
  <si>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</si>
  <si>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</si>
  <si>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</si>
  <si>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</si>
  <si>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</si>
  <si>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</si>
  <si>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</si>
  <si>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</si>
  <si>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</si>
  <si>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</si>
  <si>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</si>
  <si>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</si>
  <si>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</si>
  <si>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</si>
  <si>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</si>
  <si>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</si>
  <si>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</si>
  <si>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</si>
  <si>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</si>
  <si>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</si>
  <si>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</si>
  <si>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</si>
  <si>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</si>
  <si>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</si>
  <si>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</si>
  <si>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</si>
  <si>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</si>
  <si>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</si>
  <si>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</si>
  <si>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</si>
  <si>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</si>
  <si>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</si>
  <si>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</si>
  <si>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</si>
  <si>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</si>
  <si>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</si>
  <si>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</si>
  <si>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</si>
  <si>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</si>
  <si>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</si>
  <si>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</si>
  <si>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</si>
  <si>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</si>
  <si>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</si>
  <si>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</si>
  <si>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</si>
  <si>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</si>
  <si>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</si>
  <si>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</si>
  <si>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</si>
  <si>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</si>
  <si>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</si>
  <si>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</si>
  <si>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</si>
  <si>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</si>
  <si>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</si>
  <si>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</si>
  <si>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</si>
  <si>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</si>
  <si>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</si>
  <si>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</si>
  <si>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</si>
  <si>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</si>
  <si>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</si>
  <si>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</si>
  <si>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</si>
  <si>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</si>
  <si>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</si>
  <si>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</si>
  <si>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</si>
  <si>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</si>
  <si>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</si>
  <si>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</si>
  <si>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</si>
  <si>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</si>
  <si>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</si>
  <si>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</si>
  <si>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</si>
  <si>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</si>
  <si>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</si>
  <si>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</si>
  <si>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</si>
  <si>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</si>
  <si>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</si>
  <si>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</si>
  <si>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</si>
  <si>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</si>
  <si>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</si>
  <si>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</si>
  <si>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</si>
  <si>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</si>
  <si>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</si>
  <si>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</si>
  <si>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</si>
  <si>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</si>
  <si>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</si>
  <si>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</si>
  <si>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</si>
  <si>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</si>
  <si>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</si>
  <si>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</si>
  <si>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</si>
  <si>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</si>
  <si>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</si>
  <si>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</si>
  <si>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</si>
  <si>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</si>
  <si>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</si>
  <si>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</si>
  <si>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</si>
  <si>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</si>
  <si>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</si>
  <si>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</si>
  <si>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</si>
  <si>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</si>
  <si>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</si>
  <si>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</si>
  <si>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</si>
  <si>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</si>
  <si>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</si>
  <si>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</si>
  <si>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</si>
  <si>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</si>
  <si>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</si>
  <si>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</si>
  <si>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</si>
  <si>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</si>
  <si>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</si>
  <si>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</si>
  <si>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</si>
  <si>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</si>
  <si>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</si>
  <si>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</si>
  <si>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</si>
  <si>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</si>
  <si>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</si>
  <si>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</si>
  <si>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</si>
  <si>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</si>
  <si>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</si>
  <si>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</si>
  <si>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</si>
  <si>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</si>
  <si>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</si>
  <si>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</si>
  <si>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</si>
  <si>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</si>
  <si>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</si>
  <si>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</si>
  <si>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</si>
  <si>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</si>
  <si>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</si>
  <si>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</si>
  <si>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</si>
  <si>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</si>
  <si>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</si>
  <si>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</si>
  <si>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</si>
  <si>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</si>
  <si>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</si>
  <si>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</si>
  <si>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</si>
  <si>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</si>
  <si>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</si>
  <si>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</si>
  <si>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</si>
  <si>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</si>
  <si>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</si>
  <si>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</si>
  <si>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</si>
  <si>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</si>
  <si>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</si>
  <si>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</si>
  <si>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</si>
  <si>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</si>
  <si>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</si>
  <si>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</si>
  <si>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</si>
  <si>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</si>
  <si>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</si>
  <si>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</si>
  <si>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</si>
  <si>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</si>
  <si>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</si>
  <si>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</si>
  <si>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</si>
  <si>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</si>
  <si>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</si>
  <si>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</si>
  <si>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</si>
  <si>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</si>
  <si>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</si>
  <si>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</si>
  <si>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</si>
  <si>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</si>
  <si>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</si>
  <si>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</si>
  <si>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</si>
  <si>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</si>
  <si>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</si>
  <si>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</si>
  <si>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</si>
  <si>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0564.HK</t>
  </si>
  <si>
    <t>鄭煤機</t>
  </si>
  <si>
    <t>Tier 3</t>
  </si>
  <si>
    <t>C0006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</si>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</sst>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270</v>
      </c>
    </row>
    <row r="5" spans="1:5" ht="13.9" x14ac:dyDescent="0.4">
      <c r="B5" s="139" t="s">
        <v>180</v>
      </c>
      <c r="C5" s="188" t="s">
        <v>271</v>
      </c>
    </row>
    <row r="6" spans="1:5" ht="13.9" x14ac:dyDescent="0.4">
      <c r="B6" s="139" t="s">
        <v>154</v>
      </c>
      <c r="C6" s="186">
        <v>45634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272</v>
      </c>
      <c r="E8" s="262"/>
    </row>
    <row r="9" spans="1:5" ht="13.9" x14ac:dyDescent="0.4">
      <c r="B9" s="138" t="s">
        <v>201</v>
      </c>
      <c r="C9" s="189" t="s">
        <v>273</v>
      </c>
    </row>
    <row r="10" spans="1:5" ht="13.9" x14ac:dyDescent="0.4">
      <c r="B10" s="138" t="s">
        <v>202</v>
      </c>
      <c r="C10" s="190">
        <v>1785399930</v>
      </c>
    </row>
    <row r="11" spans="1:5" ht="13.9" x14ac:dyDescent="0.4">
      <c r="B11" s="138" t="s">
        <v>203</v>
      </c>
      <c r="C11" s="189" t="s">
        <v>274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236</v>
      </c>
      <c r="C15" s="173" t="s">
        <v>241</v>
      </c>
    </row>
    <row r="16" spans="1:5" ht="13.9" x14ac:dyDescent="0.4">
      <c r="B16" s="217" t="s">
        <v>92</v>
      </c>
      <c r="C16" s="218">
        <v>0.25</v>
      </c>
      <c r="D16" s="24"/>
      <c r="E16" s="109" t="s">
        <v>269</v>
      </c>
    </row>
    <row r="17" spans="2:13" ht="13.9" x14ac:dyDescent="0.4">
      <c r="B17" s="235" t="s">
        <v>208</v>
      </c>
      <c r="C17" s="237" t="s">
        <v>227</v>
      </c>
      <c r="D17" s="24"/>
    </row>
    <row r="18" spans="2:13" ht="13.9" x14ac:dyDescent="0.4">
      <c r="B18" s="235" t="s">
        <v>222</v>
      </c>
      <c r="C18" s="237" t="s">
        <v>227</v>
      </c>
      <c r="D18" s="24"/>
    </row>
    <row r="19" spans="2:13" ht="13.9" x14ac:dyDescent="0.4">
      <c r="B19" s="235" t="s">
        <v>223</v>
      </c>
      <c r="C19" s="237" t="s">
        <v>227</v>
      </c>
      <c r="D19" s="24"/>
    </row>
    <row r="20" spans="2:13" ht="13.9" x14ac:dyDescent="0.4">
      <c r="B20" s="236" t="s">
        <v>212</v>
      </c>
      <c r="C20" s="237" t="s">
        <v>227</v>
      </c>
      <c r="D20" s="24"/>
    </row>
    <row r="21" spans="2:13" ht="13.9" x14ac:dyDescent="0.4">
      <c r="B21" s="219" t="s">
        <v>215</v>
      </c>
      <c r="C21" s="237" t="s">
        <v>227</v>
      </c>
      <c r="D21" s="24"/>
    </row>
    <row r="22" spans="2:13" ht="78.75" x14ac:dyDescent="0.4">
      <c r="B22" s="221" t="s">
        <v>214</v>
      </c>
      <c r="C22" s="238" t="s">
        <v>239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36423236</v>
      </c>
      <c r="D25" s="147">
        <v>32043306</v>
      </c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28575291</v>
      </c>
      <c r="D26" s="148">
        <v>25644599</v>
      </c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f>1156268+1199587</f>
        <v>2355855</v>
      </c>
      <c r="D27" s="148">
        <f>831593+1072973</f>
        <v>1904566</v>
      </c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>
        <v>1568223</v>
      </c>
      <c r="D28" s="148">
        <v>1385962</v>
      </c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237</v>
      </c>
      <c r="C29" s="148">
        <v>388601</v>
      </c>
      <c r="D29" s="148">
        <v>265410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200260</v>
      </c>
      <c r="D30" s="148">
        <v>89770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>
        <f>5396777-4992273</f>
        <v>404504</v>
      </c>
      <c r="D31" s="148">
        <f>4505286-2928945</f>
        <v>1576341</v>
      </c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>
        <f>694647+21399+252318+162011</f>
        <v>1130375</v>
      </c>
      <c r="D32" s="148">
        <f>582889+18815+190402+152526</f>
        <v>944632</v>
      </c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>
        <f>1431077+99196</f>
        <v>1530273</v>
      </c>
      <c r="D33" s="148">
        <f>1300700+112152</f>
        <v>1412852</v>
      </c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261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260</v>
      </c>
      <c r="C37" s="148">
        <v>27505690</v>
      </c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266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>
        <v>21881329</v>
      </c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>
        <v>1503117</v>
      </c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v>0.84</v>
      </c>
      <c r="D44" s="245">
        <v>0.56000000000000005</v>
      </c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233</v>
      </c>
      <c r="C45" s="150">
        <f>IF(C44="","",C44*Exchange_Rate/Dashboard!$G$3)</f>
        <v>8.8982499617468527E-2</v>
      </c>
      <c r="D45" s="150">
        <f>IF(D44="","",D44*Exchange_Rate/Dashboard!$G$3)</f>
        <v>5.9321666411645699E-2</v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>
        <f>1945896+4729233</f>
        <v>6675129</v>
      </c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>
        <f>21825+216230+10353472+198861</f>
        <v>10790388</v>
      </c>
      <c r="D50" s="60">
        <f>D51</f>
        <v>0.6</v>
      </c>
      <c r="E50" s="111"/>
    </row>
    <row r="51" spans="2:5" ht="13.9" x14ac:dyDescent="0.4">
      <c r="B51" s="3" t="s">
        <v>37</v>
      </c>
      <c r="C51" s="59">
        <f>5944162+3848095</f>
        <v>9792257</v>
      </c>
      <c r="D51" s="60">
        <v>0.6</v>
      </c>
      <c r="E51" s="111"/>
    </row>
    <row r="52" spans="2:5" ht="13.9" x14ac:dyDescent="0.4">
      <c r="B52" s="3" t="s">
        <v>39</v>
      </c>
      <c r="C52" s="59">
        <v>91072</v>
      </c>
      <c r="D52" s="60">
        <v>0.5</v>
      </c>
      <c r="E52" s="111"/>
    </row>
    <row r="53" spans="2:5" ht="13.9" x14ac:dyDescent="0.4">
      <c r="B53" s="1" t="s">
        <v>149</v>
      </c>
      <c r="C53" s="59">
        <v>33867</v>
      </c>
      <c r="D53" s="60">
        <f>D50</f>
        <v>0.6</v>
      </c>
      <c r="E53" s="111"/>
    </row>
    <row r="54" spans="2:5" ht="13.9" x14ac:dyDescent="0.4">
      <c r="B54" s="3" t="s">
        <v>243</v>
      </c>
      <c r="C54" s="59"/>
      <c r="D54" s="60">
        <v>0.1</v>
      </c>
      <c r="E54" s="111"/>
    </row>
    <row r="55" spans="2:5" ht="13.9" x14ac:dyDescent="0.4">
      <c r="B55" s="3" t="s">
        <v>42</v>
      </c>
      <c r="C55" s="59">
        <v>9296608</v>
      </c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>
        <v>31969</v>
      </c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>
        <v>1468712</v>
      </c>
      <c r="D60" s="60">
        <f>D49</f>
        <v>0.8</v>
      </c>
      <c r="E60" s="111"/>
    </row>
    <row r="61" spans="2:5" ht="13.9" x14ac:dyDescent="0.4">
      <c r="B61" s="3" t="s">
        <v>58</v>
      </c>
      <c r="C61" s="59">
        <f>6872+408159</f>
        <v>415031</v>
      </c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242</v>
      </c>
      <c r="C64" s="59">
        <f>78998+213498</f>
        <v>292496</v>
      </c>
      <c r="D64" s="60">
        <v>0.4</v>
      </c>
      <c r="E64" s="111"/>
    </row>
    <row r="65" spans="2:5" ht="13.9" x14ac:dyDescent="0.4">
      <c r="B65" s="3" t="s">
        <v>65</v>
      </c>
      <c r="C65" s="59">
        <f>677520+99664</f>
        <v>777184</v>
      </c>
      <c r="D65" s="60">
        <v>0.1</v>
      </c>
      <c r="E65" s="216" t="s">
        <v>66</v>
      </c>
    </row>
    <row r="66" spans="2:5" ht="13.9" x14ac:dyDescent="0.4">
      <c r="B66" s="3" t="s">
        <v>67</v>
      </c>
      <c r="C66" s="59">
        <v>314605</v>
      </c>
      <c r="D66" s="60">
        <v>0.2</v>
      </c>
      <c r="E66" s="216" t="s">
        <v>66</v>
      </c>
    </row>
    <row r="67" spans="2:5" ht="13.9" x14ac:dyDescent="0.4">
      <c r="B67" s="1" t="s">
        <v>44</v>
      </c>
      <c r="C67" s="59"/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>
        <f>6295147+1828283</f>
        <v>8123430</v>
      </c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>
        <v>813309</v>
      </c>
      <c r="D70" s="60">
        <v>0.05</v>
      </c>
      <c r="E70" s="111"/>
    </row>
    <row r="71" spans="2:5" ht="13.9" x14ac:dyDescent="0.4">
      <c r="B71" s="3" t="s">
        <v>70</v>
      </c>
      <c r="C71" s="59">
        <v>382679</v>
      </c>
      <c r="D71" s="60">
        <f>D58</f>
        <v>0.9</v>
      </c>
      <c r="E71" s="111"/>
    </row>
    <row r="72" spans="2:5" ht="14.25" thickBot="1" x14ac:dyDescent="0.45">
      <c r="B72" s="241" t="s">
        <v>71</v>
      </c>
      <c r="C72" s="242">
        <v>88283</v>
      </c>
      <c r="D72" s="243">
        <v>0</v>
      </c>
      <c r="E72" s="244"/>
    </row>
    <row r="73" spans="2:5" ht="13.9" x14ac:dyDescent="0.4">
      <c r="B73" s="3" t="s">
        <v>34</v>
      </c>
      <c r="C73" s="59">
        <v>1143514</v>
      </c>
    </row>
    <row r="74" spans="2:5" ht="13.9" x14ac:dyDescent="0.4">
      <c r="B74" s="3" t="s">
        <v>35</v>
      </c>
      <c r="C74" s="59">
        <v>145305</v>
      </c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>
        <v>19380410</v>
      </c>
    </row>
    <row r="78" spans="2:5" ht="14.25" thickTop="1" x14ac:dyDescent="0.4">
      <c r="B78" s="3" t="s">
        <v>57</v>
      </c>
      <c r="C78" s="59">
        <v>6159723</v>
      </c>
    </row>
    <row r="79" spans="2:5" ht="13.9" x14ac:dyDescent="0.4">
      <c r="B79" s="3" t="s">
        <v>59</v>
      </c>
      <c r="C79" s="59">
        <v>1202523</v>
      </c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264</v>
      </c>
      <c r="C82" s="212">
        <v>8125280</v>
      </c>
    </row>
    <row r="83" spans="2:8" ht="14.25" hidden="1" thickTop="1" x14ac:dyDescent="0.4">
      <c r="B83" s="73" t="s">
        <v>265</v>
      </c>
      <c r="C83" s="212">
        <v>20378212</v>
      </c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231</v>
      </c>
      <c r="C86" s="194">
        <v>5</v>
      </c>
    </row>
    <row r="87" spans="2:8" ht="13.9" x14ac:dyDescent="0.4">
      <c r="B87" s="10" t="s">
        <v>230</v>
      </c>
      <c r="C87" s="231" t="s">
        <v>232</v>
      </c>
      <c r="D87" s="264">
        <v>0.02</v>
      </c>
    </row>
    <row r="89" spans="2:8" ht="13.5" x14ac:dyDescent="0.35">
      <c r="B89" s="105" t="s">
        <v>121</v>
      </c>
      <c r="C89" s="284">
        <f>C24</f>
        <v>45291</v>
      </c>
      <c r="D89" s="284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5" t="s">
        <v>96</v>
      </c>
      <c r="D90" s="285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36423236</v>
      </c>
      <c r="D91" s="204"/>
      <c r="E91" s="246">
        <f>C91</f>
        <v>36423236</v>
      </c>
      <c r="F91" s="246">
        <f>C91</f>
        <v>36423236</v>
      </c>
    </row>
    <row r="92" spans="2:8" ht="13.9" x14ac:dyDescent="0.4">
      <c r="B92" s="103" t="s">
        <v>101</v>
      </c>
      <c r="C92" s="77">
        <f>C26</f>
        <v>28575291</v>
      </c>
      <c r="D92" s="156">
        <f>C92/C91</f>
        <v>0.78453465804081768</v>
      </c>
      <c r="E92" s="247">
        <f>E91*80%</f>
        <v>29138588.800000001</v>
      </c>
      <c r="F92" s="247">
        <f>F91*79.5%</f>
        <v>28956472.620000001</v>
      </c>
    </row>
    <row r="93" spans="2:8" ht="13.9" x14ac:dyDescent="0.4">
      <c r="B93" s="103" t="s">
        <v>229</v>
      </c>
      <c r="C93" s="77">
        <f>C27+C28</f>
        <v>3924078</v>
      </c>
      <c r="D93" s="156">
        <f>C93/C91</f>
        <v>0.10773556748225227</v>
      </c>
      <c r="E93" s="247">
        <f>E91*D93</f>
        <v>3924078.0000000005</v>
      </c>
      <c r="F93" s="247">
        <f>F91*D93</f>
        <v>3924078.0000000005</v>
      </c>
    </row>
    <row r="94" spans="2:8" ht="13.9" x14ac:dyDescent="0.4">
      <c r="B94" s="103" t="s">
        <v>237</v>
      </c>
      <c r="C94" s="77">
        <f>C29</f>
        <v>388601</v>
      </c>
      <c r="D94" s="156">
        <f>C94/C91</f>
        <v>1.0669041048412063E-2</v>
      </c>
      <c r="E94" s="248"/>
      <c r="F94" s="247">
        <f>F91*D94</f>
        <v>388601</v>
      </c>
    </row>
    <row r="95" spans="2:8" ht="13.9" x14ac:dyDescent="0.4">
      <c r="B95" s="28" t="s">
        <v>228</v>
      </c>
      <c r="C95" s="77">
        <f>ABS(MAX(C33,0)-C32)</f>
        <v>399898</v>
      </c>
      <c r="D95" s="156">
        <f>C95/C91</f>
        <v>1.0979200200663114E-2</v>
      </c>
      <c r="E95" s="247">
        <f>E91*D95</f>
        <v>399897.99999999994</v>
      </c>
      <c r="F95" s="247">
        <f>F91*D95</f>
        <v>399897.99999999994</v>
      </c>
    </row>
    <row r="96" spans="2:8" ht="13.9" x14ac:dyDescent="0.4">
      <c r="B96" s="28" t="s">
        <v>105</v>
      </c>
      <c r="C96" s="77">
        <f>MAX(C31,0)</f>
        <v>404504</v>
      </c>
      <c r="D96" s="156">
        <f>C96/C91</f>
        <v>1.1105657937696694E-2</v>
      </c>
      <c r="E96" s="248"/>
      <c r="F96" s="247">
        <f>F91*D96</f>
        <v>404504</v>
      </c>
    </row>
    <row r="97" spans="2:7" ht="13.9" x14ac:dyDescent="0.4">
      <c r="B97" s="73" t="s">
        <v>160</v>
      </c>
      <c r="C97" s="77">
        <f>MAX(C30,0)/(1-C16)</f>
        <v>267013.33333333331</v>
      </c>
      <c r="D97" s="156">
        <f>C97/C91</f>
        <v>7.3308514744086254E-3</v>
      </c>
      <c r="E97" s="248"/>
      <c r="F97" s="247">
        <f>F91*D97</f>
        <v>267013.33333333331</v>
      </c>
    </row>
    <row r="98" spans="2:7" ht="13.9" x14ac:dyDescent="0.4">
      <c r="B98" s="85" t="s">
        <v>192</v>
      </c>
      <c r="C98" s="232">
        <f>C44</f>
        <v>0.84</v>
      </c>
      <c r="D98" s="261"/>
      <c r="E98" s="249">
        <f>D44</f>
        <v>0.56000000000000005</v>
      </c>
      <c r="F98" s="249">
        <f>C98</f>
        <v>0.84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0564.HK : 鄭煤機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90" t="str">
        <f>Inputs!C4</f>
        <v>0564.HK</v>
      </c>
      <c r="D3" s="291"/>
      <c r="E3" s="86"/>
      <c r="F3" s="3" t="s">
        <v>1</v>
      </c>
      <c r="G3" s="130">
        <v>10.06</v>
      </c>
      <c r="H3" s="132" t="s">
        <v>275</v>
      </c>
    </row>
    <row r="4" spans="1:10" ht="15.75" customHeight="1" x14ac:dyDescent="0.4">
      <c r="B4" s="35" t="s">
        <v>180</v>
      </c>
      <c r="C4" s="292" t="str">
        <f>Inputs!C5</f>
        <v>鄭煤機</v>
      </c>
      <c r="D4" s="293"/>
      <c r="E4" s="86"/>
      <c r="F4" s="3" t="s">
        <v>2</v>
      </c>
      <c r="G4" s="296">
        <f>Inputs!C10</f>
        <v>1785399930</v>
      </c>
      <c r="H4" s="296"/>
      <c r="I4" s="39"/>
    </row>
    <row r="5" spans="1:10" ht="15.75" customHeight="1" x14ac:dyDescent="0.4">
      <c r="B5" s="3" t="s">
        <v>154</v>
      </c>
      <c r="C5" s="294">
        <f>Inputs!C6</f>
        <v>45634</v>
      </c>
      <c r="D5" s="295"/>
      <c r="E5" s="34"/>
      <c r="F5" s="35" t="s">
        <v>95</v>
      </c>
      <c r="G5" s="288">
        <f>G3*G4/1000000</f>
        <v>17961.1232958</v>
      </c>
      <c r="H5" s="288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9" t="str">
        <f>Inputs!C11</f>
        <v>CNY</v>
      </c>
      <c r="H6" s="289"/>
      <c r="I6" s="38"/>
    </row>
    <row r="7" spans="1:10" ht="15.75" customHeight="1" x14ac:dyDescent="0.4">
      <c r="B7" s="85" t="s">
        <v>177</v>
      </c>
      <c r="C7" s="184" t="str">
        <f>Inputs!C8</f>
        <v>Tier 3</v>
      </c>
      <c r="D7" s="184" t="str">
        <f>Inputs!C9</f>
        <v>C0006</v>
      </c>
      <c r="E7" s="86"/>
      <c r="F7" s="35" t="s">
        <v>5</v>
      </c>
      <c r="G7" s="131">
        <v>1.0656713644663494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234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235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259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250</v>
      </c>
      <c r="C20" s="271">
        <f>C21*C22*C23</f>
        <v>0.17944919145343405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255</v>
      </c>
      <c r="C21" s="283">
        <f>Data!C13</f>
        <v>0.10039892300252143</v>
      </c>
      <c r="F21" s="86"/>
      <c r="G21" s="29"/>
    </row>
    <row r="22" spans="1:8" ht="15.75" customHeight="1" x14ac:dyDescent="0.4">
      <c r="B22" s="273" t="s">
        <v>262</v>
      </c>
      <c r="C22" s="274">
        <f>Data!C48</f>
        <v>0.73750626657583851</v>
      </c>
      <c r="F22" s="140" t="s">
        <v>170</v>
      </c>
    </row>
    <row r="23" spans="1:8" ht="15.75" customHeight="1" thickBot="1" x14ac:dyDescent="0.45">
      <c r="B23" s="275" t="s">
        <v>268</v>
      </c>
      <c r="C23" s="282">
        <f>1/Data!C53</f>
        <v>2.4235207190895847</v>
      </c>
      <c r="F23" s="138" t="s">
        <v>174</v>
      </c>
      <c r="G23" s="174">
        <f>G3/(Data!C34*Data!C4/Common_Shares*Exchange_Rate)</f>
        <v>0.77025850430167064</v>
      </c>
    </row>
    <row r="24" spans="1:8" ht="15.75" customHeight="1" x14ac:dyDescent="0.4">
      <c r="B24" s="280" t="s">
        <v>256</v>
      </c>
      <c r="C24" s="281">
        <f>Fin_Analysis!I81</f>
        <v>1.0669041048412063E-2</v>
      </c>
      <c r="F24" s="138" t="s">
        <v>240</v>
      </c>
      <c r="G24" s="263">
        <f>G3/(Fin_Analysis!H86*G7)</f>
        <v>10.790179569271608</v>
      </c>
    </row>
    <row r="25" spans="1:8" ht="15.75" customHeight="1" x14ac:dyDescent="0.4">
      <c r="B25" s="135" t="s">
        <v>257</v>
      </c>
      <c r="C25" s="168">
        <f>Fin_Analysis!I80</f>
        <v>1.1105657937696694E-2</v>
      </c>
      <c r="F25" s="138" t="s">
        <v>161</v>
      </c>
      <c r="G25" s="168">
        <f>Fin_Analysis!I88</f>
        <v>0.96013714939512762</v>
      </c>
    </row>
    <row r="26" spans="1:8" ht="15.75" customHeight="1" x14ac:dyDescent="0.4">
      <c r="B26" s="136" t="s">
        <v>258</v>
      </c>
      <c r="C26" s="168">
        <f>Fin_Analysis!I80+Fin_Analysis!I82</f>
        <v>2.2084858138359809E-2</v>
      </c>
      <c r="F26" s="139" t="s">
        <v>178</v>
      </c>
      <c r="G26" s="175">
        <f>Fin_Analysis!H88*Exchange_Rate/G3</f>
        <v>8.8982499617468527E-2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6" t="s">
        <v>238</v>
      </c>
      <c r="H28" s="286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6.4679938382340838</v>
      </c>
      <c r="D29" s="127">
        <f>G29*(1+G20)</f>
        <v>13.782200378702473</v>
      </c>
      <c r="E29" s="86"/>
      <c r="F29" s="129">
        <f>IF(Fin_Analysis!C108="Profit",Fin_Analysis!F100,IF(Fin_Analysis!C108="Dividend",Fin_Analysis!F103,Fin_Analysis!F106))</f>
        <v>7.6094045155695103</v>
      </c>
      <c r="G29" s="287">
        <f>IF(Fin_Analysis!C108="Profit",Fin_Analysis!I100,IF(Fin_Analysis!C108="Dividend",Fin_Analysis!I103,Fin_Analysis!I106))</f>
        <v>11.984522068436934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unclear</v>
      </c>
    </row>
    <row r="34" spans="1:3" ht="15.75" customHeight="1" x14ac:dyDescent="0.4">
      <c r="A34"/>
      <c r="B34" s="19" t="s">
        <v>209</v>
      </c>
      <c r="C34" s="220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unclear</v>
      </c>
    </row>
    <row r="37" spans="1:3" ht="15.75" customHeight="1" x14ac:dyDescent="0.4">
      <c r="A37"/>
      <c r="B37" s="20" t="s">
        <v>223</v>
      </c>
      <c r="C37" s="240" t="str">
        <f>Inputs!C19</f>
        <v>unclear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unclear</v>
      </c>
    </row>
    <row r="40" spans="1:3" ht="15.75" customHeight="1" x14ac:dyDescent="0.4">
      <c r="A40"/>
      <c r="B40" s="1" t="s">
        <v>215</v>
      </c>
      <c r="C40" s="240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3656853.6666666665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</v>
      </c>
      <c r="D4" s="1" t="str">
        <f>Dashboard!G6</f>
        <v>CNY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36423236</v>
      </c>
      <c r="D6" s="197">
        <f>IF(Inputs!D25="","",Inputs!D25)</f>
        <v>32043306</v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0.13668783114950744</v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28575291</v>
      </c>
      <c r="D8" s="196">
        <f>IF(Inputs!D26="","",Inputs!D26)</f>
        <v>25644599</v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7847945</v>
      </c>
      <c r="D9" s="149">
        <f t="shared" si="2"/>
        <v>6398707</v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2355855</v>
      </c>
      <c r="D10" s="196">
        <f>IF(Inputs!D27="","",Inputs!D27)</f>
        <v>1904566</v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>
        <f>IF(Inputs!C28="","",Inputs!C28)</f>
        <v>1568223</v>
      </c>
      <c r="D11" s="196">
        <f>IF(Inputs!D28="","",Inputs!D28)</f>
        <v>1385962</v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267013.33333333331</v>
      </c>
      <c r="D12" s="196">
        <f>IF(Inputs!D30="","",MAX(Inputs!D30,0)/(1-Fin_Analysis!$I$84))</f>
        <v>119693.33333333333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0.10039892300252143</v>
      </c>
      <c r="D13" s="224">
        <f t="shared" si="3"/>
        <v>9.3263961798032535E-2</v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3656853.6666666665</v>
      </c>
      <c r="D14" s="225">
        <f t="shared" ref="D14:M14" si="4">IF(D6="","",D9-D10-MAX(D11,0)-MAX(D12,0))</f>
        <v>2988485.6666666665</v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0.2236477181252445</v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>
        <f>IF(Inputs!C31="","",Inputs!C31)</f>
        <v>404504</v>
      </c>
      <c r="D16" s="196">
        <f>IF(Inputs!D31="","",Inputs!D31)</f>
        <v>1576341</v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237</v>
      </c>
      <c r="C17" s="196">
        <f>IF(Inputs!C29="","",Inputs!C29)</f>
        <v>388601</v>
      </c>
      <c r="D17" s="196">
        <f>IF(Inputs!D29="","",Inputs!D29)</f>
        <v>265410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>
        <f t="shared" ref="C18:M18" si="6">IF(OR(C6="",C19=""),"",C19/C6)</f>
        <v>3.103444735113596E-2</v>
      </c>
      <c r="D18" s="150">
        <f t="shared" si="6"/>
        <v>2.9479854544346953E-2</v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>
        <f>IF(Inputs!C32="","",Inputs!C32)</f>
        <v>1130375</v>
      </c>
      <c r="D19" s="196">
        <f>IF(Inputs!D32="","",Inputs!D32)</f>
        <v>944632</v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4.201364755179908E-2</v>
      </c>
      <c r="D20" s="150">
        <f t="shared" si="7"/>
        <v>4.4091954806411052E-2</v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>
        <f>IF(Inputs!C33="","",Inputs!C33)</f>
        <v>1530273</v>
      </c>
      <c r="D21" s="196">
        <f>IF(Inputs!D33="","",Inputs!D33)</f>
        <v>1412852</v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2463850.6666666665</v>
      </c>
      <c r="D22" s="158">
        <f t="shared" ref="D22:M22" si="8">IF(D6="","",D14-MAX(D16,0)-MAX(D17,0)-ABS(MAX(D21,0)-MAX(D19,0)))</f>
        <v>678514.66666666651</v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5.0733767861812169E-2</v>
      </c>
      <c r="D23" s="151">
        <f t="shared" si="9"/>
        <v>1.588119527991275E-2</v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1847888</v>
      </c>
      <c r="D24" s="77">
        <f>IF(D6="","",D22*(1-Fin_Analysis!$I$84))</f>
        <v>508885.99999999988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2.6312415747338309</v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49387019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10790388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9296608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260</v>
      </c>
      <c r="C30" s="65">
        <f>Inputs!C37</f>
        <v>27505690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1288819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7362246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8651065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21881329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1503117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29853029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>
        <f>IF(C6="","",C14/MAX(C37,0))</f>
        <v>0.12249523043931879</v>
      </c>
      <c r="D38" s="153" t="e">
        <f>IF(D6="","",D14/MAX(D37,0))</f>
        <v>#DIV/0!</v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245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0.78453465804081768</v>
      </c>
      <c r="D40" s="154">
        <f t="shared" si="34"/>
        <v>0.80031064834571064</v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0.10773556748225227</v>
      </c>
      <c r="D41" s="151">
        <f t="shared" si="35"/>
        <v>0.10269002830107481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1.1105657937696694E-2</v>
      </c>
      <c r="D42" s="151">
        <f t="shared" si="36"/>
        <v>4.9194081284871169E-2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1.0669041048412063E-2</v>
      </c>
      <c r="D43" s="151">
        <f t="shared" si="37"/>
        <v>8.2828532112136002E-3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7.3308514744086254E-3</v>
      </c>
      <c r="D44" s="151">
        <f t="shared" si="38"/>
        <v>3.7353615551820193E-3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1.0979200200663114E-2</v>
      </c>
      <c r="D45" s="151">
        <f t="shared" si="39"/>
        <v>1.4612100262064096E-2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6.764502381574955E-2</v>
      </c>
      <c r="D46" s="151">
        <f t="shared" si="40"/>
        <v>2.1174927039883665E-2</v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246</v>
      </c>
      <c r="C47" s="276" t="s">
        <v>263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252</v>
      </c>
      <c r="C48" s="267">
        <f t="shared" ref="C48:M48" si="41">IF(C6="","",C6/C27)</f>
        <v>0.73750626657583851</v>
      </c>
      <c r="D48" s="267" t="e">
        <f t="shared" si="41"/>
        <v>#VALUE!</v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253</v>
      </c>
      <c r="C49" s="151">
        <f t="shared" ref="C49:M49" si="42">IF(C28="","",C28/C6)</f>
        <v>0.29625011901743165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254</v>
      </c>
      <c r="C50" s="151">
        <f t="shared" ref="C50:M50" si="43">IF(C29="","",C29/C6)</f>
        <v>0.25523838683635908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244</v>
      </c>
      <c r="C51" s="151">
        <f t="shared" ref="C51:M51" si="44">IF(D6="","",C16/(C6-D6))</f>
        <v>9.2353987392492579E-2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247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248</v>
      </c>
      <c r="C53" s="154">
        <f t="shared" ref="C53:M53" si="45">IF(C34="","",(C34-C35)/C27)</f>
        <v>0.41262283921206094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>
        <f t="shared" ref="C54:M54" si="46">IF(OR(C22="",C33=""),"",IF(C33&lt;=0,"-",C22/C33))</f>
        <v>0.28480316199990019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0.1577210036539011</v>
      </c>
      <c r="D55" s="151">
        <f t="shared" si="47"/>
        <v>0.39116324677825692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267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249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250</v>
      </c>
      <c r="C58" s="269">
        <f t="shared" ref="C58:M58" si="49">IF(C14="","",C14/(C34-C35))</f>
        <v>0.17944919145343402</v>
      </c>
      <c r="D58" s="269" t="e">
        <f t="shared" si="49"/>
        <v>#VALUE!</v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251</v>
      </c>
      <c r="C59" s="269">
        <f t="shared" ref="C59:M59" si="50">IF(C22="","",C22/(C34-C35))</f>
        <v>0.12090612594798143</v>
      </c>
      <c r="D59" s="269" t="e">
        <f t="shared" si="50"/>
        <v>#VALUE!</v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C99" sqref="C99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21881329</v>
      </c>
      <c r="E3" s="67" t="str">
        <f>IF((C49-I49)=D3,"", "Error!")</f>
        <v/>
      </c>
      <c r="F3" s="86"/>
      <c r="G3" s="86"/>
      <c r="H3" s="47" t="s">
        <v>21</v>
      </c>
      <c r="I3" s="278">
        <f>D3-D4</f>
        <v>20378212</v>
      </c>
      <c r="K3" s="24"/>
    </row>
    <row r="4" spans="1:11" ht="15" customHeight="1" x14ac:dyDescent="0.4">
      <c r="B4" s="3" t="s">
        <v>22</v>
      </c>
      <c r="C4" s="86"/>
      <c r="D4" s="196">
        <f>Inputs!C42</f>
        <v>1503117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>
        <f>C28/I28</f>
        <v>1.8942473353246914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-4204595.6499999985</v>
      </c>
      <c r="E6" s="56">
        <f>1-D6/D3</f>
        <v>1.1921544916216011</v>
      </c>
      <c r="F6" s="86"/>
      <c r="G6" s="86"/>
      <c r="H6" s="1" t="s">
        <v>25</v>
      </c>
      <c r="I6" s="63">
        <f>(C24+C25)/I28</f>
        <v>1.4129067960894532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>
        <f>C24/I28</f>
        <v>1.4064601316484016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6675129</v>
      </c>
      <c r="D11" s="195">
        <f>Inputs!D48</f>
        <v>0.9</v>
      </c>
      <c r="E11" s="87">
        <f t="shared" ref="E11:E22" si="0">C11*D11</f>
        <v>6007616.1000000006</v>
      </c>
      <c r="F11" s="111"/>
      <c r="G11" s="86"/>
      <c r="H11" s="3" t="s">
        <v>34</v>
      </c>
      <c r="I11" s="40">
        <f>Inputs!C73</f>
        <v>1143514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145305</v>
      </c>
      <c r="J12" s="86"/>
      <c r="K12" s="24"/>
    </row>
    <row r="13" spans="1:11" ht="13.9" x14ac:dyDescent="0.4">
      <c r="B13" s="3" t="s">
        <v>111</v>
      </c>
      <c r="C13" s="40">
        <f>Inputs!C50</f>
        <v>10790388</v>
      </c>
      <c r="D13" s="195">
        <f>Inputs!D50</f>
        <v>0.6</v>
      </c>
      <c r="E13" s="87">
        <f t="shared" si="0"/>
        <v>6474232.7999999998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9792257</v>
      </c>
      <c r="D14" s="195">
        <f>Inputs!D51</f>
        <v>0.6</v>
      </c>
      <c r="E14" s="87">
        <f t="shared" si="0"/>
        <v>5875354.2000000002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91072</v>
      </c>
      <c r="D15" s="195">
        <f>Inputs!D52</f>
        <v>0.5</v>
      </c>
      <c r="E15" s="87">
        <f t="shared" si="0"/>
        <v>45536</v>
      </c>
      <c r="F15" s="111"/>
      <c r="G15" s="86"/>
      <c r="H15" s="1" t="s">
        <v>49</v>
      </c>
      <c r="I15" s="83">
        <f>SUM(I11:I14)</f>
        <v>1288819</v>
      </c>
      <c r="J15" s="86"/>
    </row>
    <row r="16" spans="1:11" ht="13.9" x14ac:dyDescent="0.4">
      <c r="B16" s="1" t="s">
        <v>149</v>
      </c>
      <c r="C16" s="40">
        <f>Inputs!C53</f>
        <v>33867</v>
      </c>
      <c r="D16" s="195">
        <f>Inputs!D53</f>
        <v>0.6</v>
      </c>
      <c r="E16" s="87">
        <f t="shared" si="0"/>
        <v>20320.2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9296608</v>
      </c>
      <c r="D18" s="195">
        <f>Inputs!D55</f>
        <v>0.5</v>
      </c>
      <c r="E18" s="87">
        <f t="shared" si="0"/>
        <v>4648304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31969</v>
      </c>
      <c r="D21" s="195">
        <f>Inputs!D58</f>
        <v>0.9</v>
      </c>
      <c r="E21" s="87">
        <f t="shared" si="0"/>
        <v>28772.100000000002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18091591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27257774</v>
      </c>
      <c r="D24" s="62">
        <f>IF(E24=0,0,E24/C24)</f>
        <v>0.67346669981195095</v>
      </c>
      <c r="E24" s="87">
        <f>SUM(E11:E14)</f>
        <v>18357203.100000001</v>
      </c>
      <c r="F24" s="112">
        <f>E24/$E$28</f>
        <v>0.79467945889182967</v>
      </c>
      <c r="G24" s="86"/>
    </row>
    <row r="25" spans="2:10" ht="15" customHeight="1" x14ac:dyDescent="0.4">
      <c r="B25" s="23" t="s">
        <v>50</v>
      </c>
      <c r="C25" s="61">
        <f>SUM(C15:C17)</f>
        <v>124939</v>
      </c>
      <c r="D25" s="62">
        <f>IF(E25=0,0,E25/C25)</f>
        <v>0.5271068281321285</v>
      </c>
      <c r="E25" s="87">
        <f>SUM(E15:E17)</f>
        <v>65856.2</v>
      </c>
      <c r="F25" s="112">
        <f>E25/$E$28</f>
        <v>2.8509010384415319E-3</v>
      </c>
      <c r="G25" s="86"/>
      <c r="H25" s="23" t="s">
        <v>51</v>
      </c>
      <c r="I25" s="63">
        <f>E28/I28</f>
        <v>1.1919322346637662</v>
      </c>
    </row>
    <row r="26" spans="2:10" ht="15" customHeight="1" x14ac:dyDescent="0.4">
      <c r="B26" s="23" t="s">
        <v>52</v>
      </c>
      <c r="C26" s="61">
        <f>C18+C19+C20</f>
        <v>9296608</v>
      </c>
      <c r="D26" s="62">
        <f>IF(E26=0,0,E26/C26)</f>
        <v>0.5</v>
      </c>
      <c r="E26" s="87">
        <f>E18+E19+E20</f>
        <v>4648304</v>
      </c>
      <c r="F26" s="112">
        <f>E26/$E$28</f>
        <v>0.20122410191587015</v>
      </c>
      <c r="G26" s="86"/>
      <c r="H26" s="23" t="s">
        <v>53</v>
      </c>
      <c r="I26" s="63">
        <f>E24/($I$28-I22)</f>
        <v>14.243429915294547</v>
      </c>
      <c r="J26" s="8" t="str">
        <f>IF(I26&lt;1,"Liquidity Problem!","")</f>
        <v/>
      </c>
    </row>
    <row r="27" spans="2:10" ht="15" customHeight="1" x14ac:dyDescent="0.4">
      <c r="B27" s="23" t="s">
        <v>54</v>
      </c>
      <c r="C27" s="77">
        <f>C21+C22</f>
        <v>31969</v>
      </c>
      <c r="D27" s="62">
        <f>IF(E27=0,0,E27/C27)</f>
        <v>0.9</v>
      </c>
      <c r="E27" s="87">
        <f>E21+E22</f>
        <v>28772.100000000002</v>
      </c>
      <c r="F27" s="112">
        <f>E27/$E$28</f>
        <v>1.2455381538586134E-3</v>
      </c>
      <c r="G27" s="86"/>
      <c r="H27" s="23" t="s">
        <v>55</v>
      </c>
      <c r="I27" s="63">
        <f>(E25+E24)/$I$28</f>
        <v>0.95060214412388599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36711290</v>
      </c>
      <c r="D28" s="57">
        <f>E28/C28</f>
        <v>0.62923791019057085</v>
      </c>
      <c r="E28" s="70">
        <f>SUM(E24:E27)</f>
        <v>23100135.400000002</v>
      </c>
      <c r="F28" s="111"/>
      <c r="G28" s="86"/>
      <c r="H28" s="78" t="s">
        <v>15</v>
      </c>
      <c r="I28" s="202">
        <f>Inputs!C77</f>
        <v>19380410</v>
      </c>
      <c r="J28" s="32">
        <f>IF(J26="",1,0)+IF(J27="",1,0)+IF(J46="",1,0)+IF(J47="",1,0)</f>
        <v>4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1468712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6159723</v>
      </c>
      <c r="J30" s="86"/>
    </row>
    <row r="31" spans="2:10" ht="15" customHeight="1" x14ac:dyDescent="0.4">
      <c r="B31" s="3" t="s">
        <v>58</v>
      </c>
      <c r="C31" s="40">
        <f>Inputs!C61</f>
        <v>415031</v>
      </c>
      <c r="D31" s="195">
        <f>Inputs!D61</f>
        <v>0.6</v>
      </c>
      <c r="E31" s="87">
        <f t="shared" ref="E31:E42" si="1">C31*D31</f>
        <v>249018.59999999998</v>
      </c>
      <c r="F31" s="111"/>
      <c r="G31" s="86"/>
      <c r="H31" s="3" t="s">
        <v>59</v>
      </c>
      <c r="I31" s="40">
        <f>Inputs!C79</f>
        <v>1202523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292496</v>
      </c>
      <c r="D34" s="195">
        <f>Inputs!D64</f>
        <v>0.4</v>
      </c>
      <c r="E34" s="87">
        <f t="shared" si="1"/>
        <v>116998.40000000001</v>
      </c>
      <c r="F34" s="111"/>
      <c r="G34" s="86"/>
      <c r="H34" s="1" t="s">
        <v>73</v>
      </c>
      <c r="I34" s="83">
        <f>SUM(I30:I33)</f>
        <v>7362246</v>
      </c>
      <c r="J34" s="86"/>
    </row>
    <row r="35" spans="2:10" ht="13.9" x14ac:dyDescent="0.4">
      <c r="B35" s="3" t="s">
        <v>65</v>
      </c>
      <c r="C35" s="40">
        <f>Inputs!C65</f>
        <v>777184</v>
      </c>
      <c r="D35" s="195">
        <f>Inputs!D65</f>
        <v>0.1</v>
      </c>
      <c r="E35" s="87">
        <f t="shared" si="1"/>
        <v>77718.400000000009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314605</v>
      </c>
      <c r="D36" s="195">
        <f>Inputs!D66</f>
        <v>0.2</v>
      </c>
      <c r="E36" s="87">
        <f t="shared" si="1"/>
        <v>62921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8123430</v>
      </c>
      <c r="D38" s="195">
        <f>Inputs!D68</f>
        <v>0.1</v>
      </c>
      <c r="E38" s="87">
        <f t="shared" si="1"/>
        <v>812343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813309</v>
      </c>
      <c r="D40" s="195">
        <f>Inputs!D70</f>
        <v>0.05</v>
      </c>
      <c r="E40" s="87">
        <f t="shared" si="1"/>
        <v>40665.450000000004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382679</v>
      </c>
      <c r="D41" s="195">
        <f>Inputs!D71</f>
        <v>0.9</v>
      </c>
      <c r="E41" s="87">
        <f t="shared" si="1"/>
        <v>344411.10000000003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88283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763034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1883743</v>
      </c>
      <c r="D44" s="62">
        <f>IF(E44=0,0,E44/C44)</f>
        <v>0.13219351047356245</v>
      </c>
      <c r="E44" s="87">
        <f>SUM(E30:E31)</f>
        <v>249018.59999999998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1069680</v>
      </c>
      <c r="D45" s="62">
        <f>IF(E45=0,0,E45/C45)</f>
        <v>0.18203275746017503</v>
      </c>
      <c r="E45" s="87">
        <f>SUM(E32:E35)</f>
        <v>194716.80000000002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8438035</v>
      </c>
      <c r="D46" s="62">
        <f>IF(E46=0,0,E46/C46)</f>
        <v>0.1037284154426949</v>
      </c>
      <c r="E46" s="87">
        <f>E36+E37+E38+E39</f>
        <v>875264</v>
      </c>
      <c r="F46" s="86"/>
      <c r="G46" s="86"/>
      <c r="H46" s="23" t="s">
        <v>76</v>
      </c>
      <c r="I46" s="63">
        <f>(E44+E24)/E64</f>
        <v>2.1507434864955939</v>
      </c>
      <c r="J46" s="8" t="str">
        <f>IF(I46&lt;1,"Liquidity Problem!","")</f>
        <v/>
      </c>
    </row>
    <row r="47" spans="2:10" ht="15" customHeight="1" x14ac:dyDescent="0.4">
      <c r="B47" s="23" t="s">
        <v>77</v>
      </c>
      <c r="C47" s="61">
        <f>C40+C41+C42</f>
        <v>1284271</v>
      </c>
      <c r="D47" s="62">
        <f>IF(E47=0,0,E47/C47)</f>
        <v>0.29984057103212641</v>
      </c>
      <c r="E47" s="87">
        <f>E40+E41+E42</f>
        <v>385076.55000000005</v>
      </c>
      <c r="F47" s="86"/>
      <c r="G47" s="86"/>
      <c r="H47" s="23" t="s">
        <v>78</v>
      </c>
      <c r="I47" s="63">
        <f>(E44+E45+E24+E25)/$I$49</f>
        <v>0.68592333804387384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79</v>
      </c>
      <c r="C48" s="279">
        <f>SUM(C30:C42)</f>
        <v>12675729</v>
      </c>
      <c r="D48" s="81">
        <f>E48/C48</f>
        <v>0.13443612986677136</v>
      </c>
      <c r="E48" s="76">
        <f>SUM(E30:E42)</f>
        <v>1704075.95</v>
      </c>
      <c r="F48" s="86"/>
      <c r="G48" s="86"/>
      <c r="H48" s="80" t="s">
        <v>80</v>
      </c>
      <c r="I48" s="277">
        <f>I49-I28</f>
        <v>8125280</v>
      </c>
      <c r="J48" s="8"/>
    </row>
    <row r="49" spans="2:11" ht="15" customHeight="1" thickTop="1" x14ac:dyDescent="0.4">
      <c r="B49" s="3" t="s">
        <v>13</v>
      </c>
      <c r="C49" s="61">
        <f>Inputs!C41+Inputs!C37</f>
        <v>49387019</v>
      </c>
      <c r="D49" s="56">
        <f>E49/C49</f>
        <v>0.50224151714846366</v>
      </c>
      <c r="E49" s="87">
        <f>E28+E48</f>
        <v>24804211.350000001</v>
      </c>
      <c r="F49" s="86"/>
      <c r="G49" s="86"/>
      <c r="H49" s="3" t="s">
        <v>81</v>
      </c>
      <c r="I49" s="40">
        <f>Inputs!C37</f>
        <v>27505690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1503117</v>
      </c>
      <c r="D53" s="29">
        <f>IF(E53=0, 0,E53/C53)</f>
        <v>1</v>
      </c>
      <c r="E53" s="87">
        <f>IF(C53=0,0,MAX(C53,C53*Dashboard!G23))</f>
        <v>1503117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7">
        <f>I15+I34</f>
        <v>8651065</v>
      </c>
      <c r="E56" s="295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6">
        <f>Inputs!C84</f>
        <v>0</v>
      </c>
      <c r="E57" s="295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11390149</v>
      </c>
      <c r="D61" s="56">
        <f t="shared" ref="D61:D70" si="2">IF(E61=0,0,E61/C61)</f>
        <v>0.55403561445947724</v>
      </c>
      <c r="E61" s="52">
        <f>E14+E15+(E19*G19)+(E20*G20)+E31+E32+(E35*G35)+(E36*G36)+(E37*G37)</f>
        <v>6310548.2000000002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8143841</v>
      </c>
      <c r="D62" s="106">
        <f t="shared" si="2"/>
        <v>0.73768828492599503</v>
      </c>
      <c r="E62" s="116">
        <f>E11+E30</f>
        <v>6007616.1000000006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19533990</v>
      </c>
      <c r="D63" s="29">
        <f t="shared" si="2"/>
        <v>0.63060154633026844</v>
      </c>
      <c r="E63" s="61">
        <f>E61+E62</f>
        <v>12318164.300000001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8651065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10882925</v>
      </c>
      <c r="D65" s="29">
        <f t="shared" si="2"/>
        <v>0.3369589793185197</v>
      </c>
      <c r="E65" s="61">
        <f>E63-E64</f>
        <v>3667099.3000000007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29853029</v>
      </c>
      <c r="D68" s="29">
        <f t="shared" si="2"/>
        <v>0.41825059192485964</v>
      </c>
      <c r="E68" s="68">
        <f>E49-E63</f>
        <v>12486047.050000001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18854625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10998404</v>
      </c>
      <c r="D70" s="29">
        <f t="shared" si="2"/>
        <v>-0.5790456460773763</v>
      </c>
      <c r="E70" s="68">
        <f>E68-E69</f>
        <v>-6368577.9499999993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4">
        <f>Data!C5</f>
        <v>45291</v>
      </c>
      <c r="D72" s="284"/>
      <c r="E72" s="298" t="s">
        <v>191</v>
      </c>
      <c r="F72" s="298"/>
      <c r="H72" s="298" t="s">
        <v>190</v>
      </c>
      <c r="I72" s="298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5" t="s">
        <v>96</v>
      </c>
      <c r="D73" s="285"/>
      <c r="E73" s="299" t="s">
        <v>97</v>
      </c>
      <c r="F73" s="285"/>
      <c r="H73" s="299" t="s">
        <v>97</v>
      </c>
      <c r="I73" s="285"/>
      <c r="K73" s="24"/>
    </row>
    <row r="74" spans="1:11" ht="15" customHeight="1" x14ac:dyDescent="0.4">
      <c r="B74" s="3" t="s">
        <v>120</v>
      </c>
      <c r="C74" s="77">
        <f>Data!C6</f>
        <v>36423236</v>
      </c>
      <c r="D74" s="204"/>
      <c r="E74" s="233">
        <f>Inputs!E91</f>
        <v>36423236</v>
      </c>
      <c r="F74" s="204"/>
      <c r="H74" s="233">
        <f>Inputs!F91</f>
        <v>36423236</v>
      </c>
      <c r="I74" s="204"/>
      <c r="K74" s="24"/>
    </row>
    <row r="75" spans="1:11" ht="15" customHeight="1" x14ac:dyDescent="0.4">
      <c r="B75" s="103" t="s">
        <v>101</v>
      </c>
      <c r="C75" s="77">
        <f>Data!C8</f>
        <v>28575291</v>
      </c>
      <c r="D75" s="156">
        <f>C75/$C$74</f>
        <v>0.78453465804081768</v>
      </c>
      <c r="E75" s="233">
        <f>Inputs!E92</f>
        <v>29138588.800000001</v>
      </c>
      <c r="F75" s="157">
        <f>E75/E74</f>
        <v>0.8</v>
      </c>
      <c r="H75" s="233">
        <f>Inputs!F92</f>
        <v>28956472.620000001</v>
      </c>
      <c r="I75" s="157">
        <f>H75/$H$74</f>
        <v>0.79500000000000004</v>
      </c>
      <c r="K75" s="24"/>
    </row>
    <row r="76" spans="1:11" ht="15" customHeight="1" x14ac:dyDescent="0.4">
      <c r="B76" s="35" t="s">
        <v>91</v>
      </c>
      <c r="C76" s="158">
        <f>C74-C75</f>
        <v>7847945</v>
      </c>
      <c r="D76" s="205"/>
      <c r="E76" s="159">
        <f>E74-E75</f>
        <v>7284647.1999999993</v>
      </c>
      <c r="F76" s="205"/>
      <c r="H76" s="159">
        <f>H74-H75</f>
        <v>7466763.379999999</v>
      </c>
      <c r="I76" s="205"/>
      <c r="K76" s="24"/>
    </row>
    <row r="77" spans="1:11" ht="15" customHeight="1" x14ac:dyDescent="0.4">
      <c r="B77" s="103" t="s">
        <v>229</v>
      </c>
      <c r="C77" s="77">
        <f>Data!C10+MAX(Data!C11,0)</f>
        <v>3924078</v>
      </c>
      <c r="D77" s="156">
        <f>C77/$C$74</f>
        <v>0.10773556748225227</v>
      </c>
      <c r="E77" s="233">
        <f>Inputs!E93</f>
        <v>3924078.0000000005</v>
      </c>
      <c r="F77" s="157">
        <f>E77/E74</f>
        <v>0.10773556748225227</v>
      </c>
      <c r="H77" s="233">
        <f>Inputs!F93</f>
        <v>3924078.0000000005</v>
      </c>
      <c r="I77" s="157">
        <f>H77/$H$74</f>
        <v>0.10773556748225227</v>
      </c>
      <c r="K77" s="24"/>
    </row>
    <row r="78" spans="1:11" ht="15" customHeight="1" x14ac:dyDescent="0.4">
      <c r="B78" s="73" t="s">
        <v>160</v>
      </c>
      <c r="C78" s="77">
        <f>MAX(Data!C12,0)</f>
        <v>267013.33333333331</v>
      </c>
      <c r="D78" s="156">
        <f>C78/$C$74</f>
        <v>7.3308514744086254E-3</v>
      </c>
      <c r="E78" s="177">
        <f>E74*F78</f>
        <v>267013.33333333331</v>
      </c>
      <c r="F78" s="157">
        <f>I78</f>
        <v>7.3308514744086254E-3</v>
      </c>
      <c r="H78" s="233">
        <f>Inputs!F97</f>
        <v>267013.33333333331</v>
      </c>
      <c r="I78" s="157">
        <f>H78/$H$74</f>
        <v>7.3308514744086254E-3</v>
      </c>
      <c r="K78" s="24"/>
    </row>
    <row r="79" spans="1:11" ht="15" customHeight="1" x14ac:dyDescent="0.4">
      <c r="B79" s="251" t="s">
        <v>216</v>
      </c>
      <c r="C79" s="252">
        <f>C76-C77-C78</f>
        <v>3656853.6666666665</v>
      </c>
      <c r="D79" s="253">
        <f>C79/C74</f>
        <v>0.10039892300252143</v>
      </c>
      <c r="E79" s="254">
        <f>E76-E77-E78</f>
        <v>3093555.8666666653</v>
      </c>
      <c r="F79" s="253">
        <f>E79/E74</f>
        <v>8.4933581043339076E-2</v>
      </c>
      <c r="G79" s="255"/>
      <c r="H79" s="254">
        <f>H76-H77-H78</f>
        <v>3275672.046666665</v>
      </c>
      <c r="I79" s="253">
        <f>H79/H74</f>
        <v>8.9933581043339067E-2</v>
      </c>
      <c r="K79" s="24"/>
    </row>
    <row r="80" spans="1:11" ht="15" customHeight="1" x14ac:dyDescent="0.4">
      <c r="B80" s="28" t="s">
        <v>105</v>
      </c>
      <c r="C80" s="77">
        <f>MAX(Data!C16,0)</f>
        <v>404504</v>
      </c>
      <c r="D80" s="156">
        <f>C80/$C$74</f>
        <v>1.1105657937696694E-2</v>
      </c>
      <c r="E80" s="177">
        <f>E74*F80</f>
        <v>404504</v>
      </c>
      <c r="F80" s="157">
        <f>I80</f>
        <v>1.1105657937696694E-2</v>
      </c>
      <c r="H80" s="233">
        <f>Inputs!F96</f>
        <v>404504</v>
      </c>
      <c r="I80" s="157">
        <f>H80/$H$74</f>
        <v>1.1105657937696694E-2</v>
      </c>
      <c r="K80" s="178" t="s">
        <v>125</v>
      </c>
    </row>
    <row r="81" spans="1:11" ht="15" customHeight="1" x14ac:dyDescent="0.4">
      <c r="B81" s="103" t="s">
        <v>237</v>
      </c>
      <c r="C81" s="77">
        <f>MAX(Data!C17,0)</f>
        <v>388601</v>
      </c>
      <c r="D81" s="156">
        <f>C81/$C$74</f>
        <v>1.0669041048412063E-2</v>
      </c>
      <c r="E81" s="177">
        <f>E74*F81</f>
        <v>388601</v>
      </c>
      <c r="F81" s="157">
        <f>I81</f>
        <v>1.0669041048412063E-2</v>
      </c>
      <c r="H81" s="233">
        <f>Inputs!F94</f>
        <v>388601</v>
      </c>
      <c r="I81" s="157">
        <f>H81/$H$74</f>
        <v>1.0669041048412063E-2</v>
      </c>
      <c r="K81" s="24"/>
    </row>
    <row r="82" spans="1:11" ht="15" customHeight="1" x14ac:dyDescent="0.4">
      <c r="B82" s="28" t="s">
        <v>228</v>
      </c>
      <c r="C82" s="77">
        <f>ABS(MAX(Data!C21,0)-MAX(Data!C19,0))</f>
        <v>399898</v>
      </c>
      <c r="D82" s="156">
        <f>C82/$C$74</f>
        <v>1.0979200200663114E-2</v>
      </c>
      <c r="E82" s="233">
        <f>Inputs!E95</f>
        <v>399897.99999999994</v>
      </c>
      <c r="F82" s="157">
        <f>E82/E74</f>
        <v>1.0979200200663114E-2</v>
      </c>
      <c r="H82" s="233">
        <f>Inputs!F95</f>
        <v>399897.99999999994</v>
      </c>
      <c r="I82" s="157">
        <f>H82/$H$74</f>
        <v>1.0979200200663114E-2</v>
      </c>
      <c r="K82" s="24"/>
    </row>
    <row r="83" spans="1:11" ht="15" customHeight="1" thickBot="1" x14ac:dyDescent="0.45">
      <c r="B83" s="104" t="s">
        <v>119</v>
      </c>
      <c r="C83" s="160">
        <f>C79-C81-C82-C80</f>
        <v>2463850.6666666665</v>
      </c>
      <c r="D83" s="161">
        <f>C83/$C$74</f>
        <v>6.764502381574955E-2</v>
      </c>
      <c r="E83" s="162">
        <f>E79-E81-E82-E80</f>
        <v>1900552.8666666653</v>
      </c>
      <c r="F83" s="161">
        <f>E83/E74</f>
        <v>5.2179681856567198E-2</v>
      </c>
      <c r="H83" s="162">
        <f>H79-H81-H82-H80</f>
        <v>2082669.046666665</v>
      </c>
      <c r="I83" s="161">
        <f>H83/$H$74</f>
        <v>5.7179681856567195E-2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1847888</v>
      </c>
      <c r="D85" s="253">
        <f>C85/$C$74</f>
        <v>5.0733767861812169E-2</v>
      </c>
      <c r="E85" s="259">
        <f>E83*(1-F84)</f>
        <v>1425414.649999999</v>
      </c>
      <c r="F85" s="253">
        <f>E85/E74</f>
        <v>3.9134761392425402E-2</v>
      </c>
      <c r="G85" s="255"/>
      <c r="H85" s="259">
        <f>H83*(1-I84)</f>
        <v>1562001.7849999988</v>
      </c>
      <c r="I85" s="253">
        <f>H85/$H$74</f>
        <v>4.2884761392425391E-2</v>
      </c>
      <c r="K85" s="24"/>
    </row>
    <row r="86" spans="1:11" ht="15" customHeight="1" x14ac:dyDescent="0.4">
      <c r="B86" s="86" t="s">
        <v>151</v>
      </c>
      <c r="C86" s="164">
        <f>C85*Data!C4/Common_Shares</f>
        <v>1.0349994804805442</v>
      </c>
      <c r="D86" s="204"/>
      <c r="E86" s="165">
        <f>E85*Data!C4/Common_Shares</f>
        <v>0.79837274890001764</v>
      </c>
      <c r="F86" s="204"/>
      <c r="H86" s="165">
        <f>H85*Data!C4/Common_Shares</f>
        <v>0.87487501189719374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0.10963909628088113</v>
      </c>
      <c r="D87" s="204"/>
      <c r="E87" s="257">
        <f>E86*Exchange_Rate/Dashboard!G3</f>
        <v>8.4572860504277522E-2</v>
      </c>
      <c r="F87" s="204"/>
      <c r="H87" s="257">
        <f>H86*Exchange_Rate/Dashboard!G3</f>
        <v>9.2676863585089073E-2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0.84</v>
      </c>
      <c r="D88" s="163">
        <f>C88/C86</f>
        <v>0.81159461027941082</v>
      </c>
      <c r="E88" s="167">
        <f>Inputs!E98</f>
        <v>0.56000000000000005</v>
      </c>
      <c r="F88" s="163">
        <f>E88/E86</f>
        <v>0.70142674680662276</v>
      </c>
      <c r="H88" s="167">
        <f>Inputs!F98</f>
        <v>0.84</v>
      </c>
      <c r="I88" s="163">
        <f>H88/H86</f>
        <v>0.96013714939512762</v>
      </c>
      <c r="K88" s="24"/>
    </row>
    <row r="89" spans="1:11" ht="15" customHeight="1" x14ac:dyDescent="0.4">
      <c r="B89" s="86" t="s">
        <v>205</v>
      </c>
      <c r="C89" s="256">
        <f>C88*Exchange_Rate/Dashboard!G3</f>
        <v>8.8982499617468527E-2</v>
      </c>
      <c r="D89" s="204"/>
      <c r="E89" s="256">
        <f>E88*Exchange_Rate/Dashboard!G3</f>
        <v>5.9321666411645699E-2</v>
      </c>
      <c r="F89" s="204"/>
      <c r="H89" s="256">
        <f>H88*Exchange_Rate/Dashboard!G3</f>
        <v>8.8982499617468527E-2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8" t="s">
        <v>191</v>
      </c>
      <c r="F92" s="298"/>
      <c r="G92" s="86"/>
      <c r="H92" s="298" t="s">
        <v>190</v>
      </c>
      <c r="I92" s="298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19.272443539585879</v>
      </c>
      <c r="H93" s="86" t="s">
        <v>194</v>
      </c>
      <c r="I93" s="142">
        <f>FV(H87,D93,0,-(H86/(C93-D94)))*Exchange_Rate</f>
        <v>21.920081413938288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12.016132695905762</v>
      </c>
      <c r="H94" s="86" t="s">
        <v>195</v>
      </c>
      <c r="I94" s="142">
        <f>FV(H89,D93,0,-(H88/(C93-D94)))*Exchange_Rate</f>
        <v>20.692892526411281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19457564.307950515</v>
      </c>
      <c r="D97" s="208"/>
      <c r="E97" s="121">
        <f>PV(C94,D93,0,-F93)</f>
        <v>9.5818105602319257</v>
      </c>
      <c r="F97" s="208"/>
      <c r="H97" s="121">
        <f>PV(C94,D93,0,-I93)</f>
        <v>10.898154514854561</v>
      </c>
      <c r="I97" s="121">
        <f>PV(C93,D93,0,-I93)</f>
        <v>14.494165486740853</v>
      </c>
      <c r="K97" s="24"/>
    </row>
    <row r="98" spans="2:11" ht="15" customHeight="1" x14ac:dyDescent="0.4">
      <c r="B98" s="28" t="s">
        <v>138</v>
      </c>
      <c r="C98" s="90">
        <f>-E53*Exchange_Rate</f>
        <v>-1601828.7443425655</v>
      </c>
      <c r="D98" s="208"/>
      <c r="E98" s="208"/>
      <c r="F98" s="208"/>
      <c r="H98" s="121">
        <f>C98*Data!$C$4/Common_Shares</f>
        <v>-0.89718203603971547</v>
      </c>
      <c r="I98" s="210"/>
      <c r="K98" s="24"/>
    </row>
    <row r="99" spans="2:11" ht="15" customHeight="1" thickBot="1" x14ac:dyDescent="0.45">
      <c r="B99" s="104" t="s">
        <v>139</v>
      </c>
      <c r="C99" s="107">
        <f>(E65+IF(E70&lt;0,E70,0))*Exchange_Rate</f>
        <v>-2878888.43902221</v>
      </c>
      <c r="D99" s="209"/>
      <c r="E99" s="143">
        <f>IF(H99&gt;0,H99*(1-C94),H99*(1+C94))</f>
        <v>-1.8543305896038327</v>
      </c>
      <c r="F99" s="209"/>
      <c r="H99" s="143">
        <f>C99*Data!$C$4/Common_Shares</f>
        <v>-1.6124613822642024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14976847.12458574</v>
      </c>
      <c r="D100" s="108">
        <f>MIN(F100*(1-C94),E100)</f>
        <v>6.4679938382340838</v>
      </c>
      <c r="E100" s="108">
        <f>MAX(E97+H98+E99,0)</f>
        <v>6.8302979345883772</v>
      </c>
      <c r="F100" s="108">
        <f>(E100+H100)/2</f>
        <v>7.6094045155695103</v>
      </c>
      <c r="H100" s="108">
        <f>MAX(C100*Data!$C$4/Common_Shares,0)</f>
        <v>8.3885110965506424</v>
      </c>
      <c r="I100" s="108">
        <f>MAX(I97+H98+H99,0)</f>
        <v>11.984522068436934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18368238.668773118</v>
      </c>
      <c r="D103" s="108">
        <f>MIN(F103*(1-C94),E103)</f>
        <v>5.9741416246614651</v>
      </c>
      <c r="E103" s="121">
        <f>PV(C94,D93,0,-F94)</f>
        <v>5.9741416246614651</v>
      </c>
      <c r="F103" s="108">
        <f>(E103+H103)/2</f>
        <v>8.1310831874105034</v>
      </c>
      <c r="H103" s="121">
        <f>PV(C94,D93,0,-I94)</f>
        <v>10.288024750159543</v>
      </c>
      <c r="I103" s="108">
        <f>PV(C93,D93,0,-I94)</f>
        <v>13.68271417488598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11430522.746386949</v>
      </c>
      <c r="D106" s="108">
        <f>(D100+D103)/2</f>
        <v>6.2210677314477749</v>
      </c>
      <c r="E106" s="121">
        <f>(E100+E103)/2</f>
        <v>6.4022197796249216</v>
      </c>
      <c r="F106" s="108">
        <f>(F100+F103)/2</f>
        <v>7.8702438514900068</v>
      </c>
      <c r="H106" s="121">
        <f>(H100+H103)/2</f>
        <v>9.3382679233550938</v>
      </c>
      <c r="I106" s="121">
        <f>(I100+I103)/2</f>
        <v>12.833618121661457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2024-12-20T09:14:36Z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