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C03421-17A3-4B25-A5B9-CAF1F44F4F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9" i="4"/>
  <c r="F38" i="4"/>
  <c r="E38" i="4"/>
  <c r="D38" i="4"/>
  <c r="C38" i="4"/>
  <c r="B47" i="4"/>
  <c r="C49" i="3"/>
  <c r="J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5" i="4"/>
  <c r="F96" i="4"/>
  <c r="I56" i="2"/>
  <c r="H56" i="2"/>
  <c r="G56" i="2"/>
  <c r="F37" i="2"/>
  <c r="F38" i="2" s="1"/>
  <c r="E37" i="2"/>
  <c r="F27" i="2"/>
  <c r="F56" i="2" s="1"/>
  <c r="M56" i="2"/>
  <c r="E27" i="2"/>
  <c r="E56" i="2" s="1"/>
  <c r="L56" i="2"/>
  <c r="D56" i="2"/>
  <c r="K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<sst xmlns="http://schemas.openxmlformats.org/spreadsheetml/2006/main" count="392" uniqueCount="277">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</sst>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228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45643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229</v>
      </c>
    </row>
    <row r="10" spans="1:5" ht="13.9" x14ac:dyDescent="0.4">
      <c r="B10" s="138" t="s">
        <v>203</v>
      </c>
      <c r="C10" s="190">
        <v>587107850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239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273</v>
      </c>
      <c r="D17" s="24"/>
    </row>
    <row r="18" spans="2:13" ht="13.9" x14ac:dyDescent="0.4">
      <c r="B18" s="235" t="s">
        <v>223</v>
      </c>
      <c r="C18" s="237" t="s">
        <v>230</v>
      </c>
      <c r="D18" s="24"/>
    </row>
    <row r="19" spans="2:13" ht="13.9" x14ac:dyDescent="0.4">
      <c r="B19" s="235" t="s">
        <v>224</v>
      </c>
      <c r="C19" s="237" t="s">
        <v>274</v>
      </c>
      <c r="D19" s="24"/>
    </row>
    <row r="20" spans="2:13" ht="13.9" x14ac:dyDescent="0.4">
      <c r="B20" s="236" t="s">
        <v>213</v>
      </c>
      <c r="C20" s="237" t="s">
        <v>274</v>
      </c>
      <c r="D20" s="24"/>
    </row>
    <row r="21" spans="2:13" ht="13.9" x14ac:dyDescent="0.4">
      <c r="B21" s="219" t="s">
        <v>216</v>
      </c>
      <c r="C21" s="237" t="s">
        <v>273</v>
      </c>
      <c r="D21" s="24"/>
    </row>
    <row r="22" spans="2:13" ht="78.75" x14ac:dyDescent="0.4">
      <c r="B22" s="221" t="s">
        <v>215</v>
      </c>
      <c r="C22" s="238" t="s">
        <v>275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15325962</v>
      </c>
      <c r="D25" s="147">
        <v>11977844</v>
      </c>
      <c r="E25" s="147">
        <v>11737803</v>
      </c>
      <c r="F25" s="147">
        <v>8861335</v>
      </c>
      <c r="G25" s="147">
        <v>11233771</v>
      </c>
      <c r="H25" s="147">
        <v>15859990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11151623</v>
      </c>
      <c r="D26" s="148">
        <v>8747447</v>
      </c>
      <c r="E26" s="148">
        <v>8503976</v>
      </c>
      <c r="F26" s="148">
        <v>6229020</v>
      </c>
      <c r="G26" s="148">
        <v>7910751</v>
      </c>
      <c r="H26" s="148">
        <v>11826154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2297566</v>
      </c>
      <c r="D27" s="148">
        <v>1867515</v>
      </c>
      <c r="E27" s="148">
        <v>1815111</v>
      </c>
      <c r="F27" s="148">
        <v>1694480</v>
      </c>
      <c r="G27" s="148">
        <v>2118252</v>
      </c>
      <c r="H27" s="148">
        <v>2416769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240</v>
      </c>
      <c r="C29" s="148">
        <v>59596</v>
      </c>
      <c r="D29" s="148">
        <v>20763</v>
      </c>
      <c r="E29" s="148">
        <v>23097</v>
      </c>
      <c r="F29" s="148">
        <v>28849</v>
      </c>
      <c r="G29" s="148">
        <v>63075</v>
      </c>
      <c r="H29" s="148">
        <v>34253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-9467</v>
      </c>
      <c r="D30" s="148">
        <v>-30</v>
      </c>
      <c r="E30" s="148">
        <v>-27</v>
      </c>
      <c r="F30" s="148">
        <v>1799</v>
      </c>
      <c r="G30" s="148">
        <v>1337</v>
      </c>
      <c r="H30" s="148">
        <v>10908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626583</v>
      </c>
      <c r="D31" s="148">
        <v>352099</v>
      </c>
      <c r="E31" s="148">
        <v>1045251</v>
      </c>
      <c r="F31" s="148">
        <v>-818677</v>
      </c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456554</v>
      </c>
      <c r="D32" s="148">
        <v>373191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676387</v>
      </c>
      <c r="D33" s="148">
        <v>107280</v>
      </c>
      <c r="E33" s="148">
        <v>455483</v>
      </c>
      <c r="F33" s="148">
        <v>138937</v>
      </c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>
        <v>11972903</v>
      </c>
      <c r="E34" s="148">
        <v>13002006</v>
      </c>
      <c r="F34" s="148">
        <v>11732726</v>
      </c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213823</v>
      </c>
      <c r="E35" s="148">
        <v>187711</v>
      </c>
      <c r="F35" s="148">
        <v>277338</v>
      </c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8852611</v>
      </c>
      <c r="E36" s="148">
        <v>8769304</v>
      </c>
      <c r="F36" s="148">
        <v>7321614</v>
      </c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>
        <v>3990166</v>
      </c>
      <c r="D37" s="148">
        <v>2466431</v>
      </c>
      <c r="E37" s="148">
        <v>3908586</v>
      </c>
      <c r="F37" s="148">
        <v>2946772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>
        <f>20356+1075000</f>
        <v>1095356</v>
      </c>
      <c r="D38" s="148">
        <f>24308+1075000</f>
        <v>1099308</v>
      </c>
      <c r="E38" s="148">
        <f>32736+1075000</f>
        <v>1107736</v>
      </c>
      <c r="F38" s="148">
        <f>47325+1075000</f>
        <v>1122325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>
        <f>35175+1000000</f>
        <v>1035175</v>
      </c>
      <c r="E39" s="148">
        <v>1587989</v>
      </c>
      <c r="F39" s="148">
        <v>1050082</v>
      </c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>
        <v>67759</v>
      </c>
      <c r="E40" s="148">
        <v>153013</v>
      </c>
      <c r="F40" s="148">
        <v>81854</v>
      </c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12863898</v>
      </c>
      <c r="D41" s="148">
        <v>12220942</v>
      </c>
      <c r="E41" s="148">
        <v>12078528</v>
      </c>
      <c r="F41" s="148">
        <v>11324224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-26962</v>
      </c>
      <c r="D42" s="148">
        <v>-498</v>
      </c>
      <c r="E42" s="148">
        <v>468</v>
      </c>
      <c r="F42" s="148">
        <v>411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>
        <v>3475378</v>
      </c>
      <c r="E43" s="148">
        <v>4499643</v>
      </c>
      <c r="F43" s="148">
        <v>4455433</v>
      </c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0.72+0.64</f>
        <v>1.3599999999999999</v>
      </c>
      <c r="D44" s="245">
        <f>0.55+0.55</f>
        <v>1.1000000000000001</v>
      </c>
      <c r="E44" s="245">
        <f>0.55+0.55</f>
        <v>1.1000000000000001</v>
      </c>
      <c r="F44" s="245">
        <f>0.5+0.5</f>
        <v>1</v>
      </c>
      <c r="G44" s="245">
        <f>0.5+0.5</f>
        <v>1</v>
      </c>
      <c r="H44" s="245">
        <f>0.6+0.55</f>
        <v>1.1499999999999999</v>
      </c>
      <c r="I44" s="245"/>
      <c r="J44" s="245"/>
      <c r="K44" s="245"/>
      <c r="L44" s="245"/>
      <c r="M44" s="245"/>
    </row>
    <row r="45" spans="2:13" ht="13.9" x14ac:dyDescent="0.4">
      <c r="B45" s="74" t="s">
        <v>236</v>
      </c>
      <c r="C45" s="150">
        <f>IF(C44="","",C44*Exchange_Rate/Dashboard!$G$3)</f>
        <v>9.7701149425287348E-2</v>
      </c>
      <c r="D45" s="150">
        <f>IF(D44="","",D44*Exchange_Rate/Dashboard!$G$3)</f>
        <v>7.9022988505747127E-2</v>
      </c>
      <c r="E45" s="150">
        <f>IF(E44="","",E44*Exchange_Rate/Dashboard!$G$3)</f>
        <v>7.9022988505747127E-2</v>
      </c>
      <c r="F45" s="150">
        <f>IF(F44="","",F44*Exchange_Rate/Dashboard!$G$3)</f>
        <v>7.183908045977011E-2</v>
      </c>
      <c r="G45" s="150">
        <f>IF(G44="","",G44*Exchange_Rate/Dashboard!$G$3)</f>
        <v>7.183908045977011E-2</v>
      </c>
      <c r="H45" s="150">
        <f>IF(H44="","",H44*Exchange_Rate/Dashboard!$G$3)</f>
        <v>8.2614942528735621E-2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1998219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265773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>
        <v>366595</v>
      </c>
      <c r="D54" s="60">
        <v>0.1</v>
      </c>
      <c r="E54" s="111"/>
    </row>
    <row r="55" spans="2:5" ht="13.9" x14ac:dyDescent="0.4">
      <c r="B55" s="3" t="s">
        <v>43</v>
      </c>
      <c r="C55" s="59">
        <v>9672256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29465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>
        <v>103050</v>
      </c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925726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2522337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538321</v>
      </c>
      <c r="D70" s="60">
        <v>0.05</v>
      </c>
      <c r="E70" s="111"/>
    </row>
    <row r="71" spans="2:5" ht="13.9" x14ac:dyDescent="0.4">
      <c r="B71" s="3" t="s">
        <v>71</v>
      </c>
      <c r="C71" s="59">
        <v>154648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277674</v>
      </c>
      <c r="D72" s="243">
        <v>0</v>
      </c>
      <c r="E72" s="244"/>
    </row>
    <row r="73" spans="2:5" ht="13.9" x14ac:dyDescent="0.4">
      <c r="B73" s="3" t="s">
        <v>35</v>
      </c>
      <c r="C73" s="59">
        <v>1427805</v>
      </c>
    </row>
    <row r="74" spans="2:5" ht="13.9" x14ac:dyDescent="0.4">
      <c r="B74" s="3" t="s">
        <v>36</v>
      </c>
      <c r="C74" s="59">
        <v>287697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3516809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319420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>
        <v>473357</v>
      </c>
    </row>
    <row r="83" spans="2:8" ht="14.25" hidden="1" thickTop="1" x14ac:dyDescent="0.4">
      <c r="B83" s="73" t="s">
        <v>266</v>
      </c>
      <c r="C83" s="212">
        <v>12890860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4">
        <v>5</v>
      </c>
    </row>
    <row r="87" spans="2:8" ht="13.9" x14ac:dyDescent="0.4">
      <c r="B87" s="10" t="s">
        <v>233</v>
      </c>
      <c r="C87" s="231" t="s">
        <v>235</v>
      </c>
      <c r="D87" s="264">
        <v>0.02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15325962</v>
      </c>
      <c r="D91" s="204"/>
      <c r="E91" s="246">
        <f>C91*0.8</f>
        <v>12260769.600000001</v>
      </c>
      <c r="F91" s="246">
        <f>C91*0.9</f>
        <v>13793365.800000001</v>
      </c>
    </row>
    <row r="92" spans="2:8" ht="13.9" x14ac:dyDescent="0.4">
      <c r="B92" s="103" t="s">
        <v>102</v>
      </c>
      <c r="C92" s="77">
        <f>C26</f>
        <v>11151623</v>
      </c>
      <c r="D92" s="156">
        <f>C92/C91</f>
        <v>0.72762956087193742</v>
      </c>
      <c r="E92" s="247">
        <f>E91*D92</f>
        <v>8921298.4000000004</v>
      </c>
      <c r="F92" s="247">
        <f>F91*D92</f>
        <v>10036460.700000001</v>
      </c>
    </row>
    <row r="93" spans="2:8" ht="13.9" x14ac:dyDescent="0.4">
      <c r="B93" s="103" t="s">
        <v>232</v>
      </c>
      <c r="C93" s="77">
        <f>C27+C28</f>
        <v>2297566</v>
      </c>
      <c r="D93" s="156">
        <f>C93/C91</f>
        <v>0.14991333007350532</v>
      </c>
      <c r="E93" s="247">
        <f>E91*16.54%</f>
        <v>2027931.2918400001</v>
      </c>
      <c r="F93" s="247">
        <f>F91*16.54%</f>
        <v>2281422.7033199999</v>
      </c>
    </row>
    <row r="94" spans="2:8" ht="13.9" x14ac:dyDescent="0.4">
      <c r="B94" s="103" t="s">
        <v>240</v>
      </c>
      <c r="C94" s="77">
        <f>C29</f>
        <v>59596</v>
      </c>
      <c r="D94" s="156">
        <f>C94/C91</f>
        <v>3.8885650375487034E-3</v>
      </c>
      <c r="E94" s="248"/>
      <c r="F94" s="247">
        <f>F91*D94</f>
        <v>53636.4</v>
      </c>
    </row>
    <row r="95" spans="2:8" ht="13.9" x14ac:dyDescent="0.4">
      <c r="B95" s="28" t="s">
        <v>231</v>
      </c>
      <c r="C95" s="77">
        <f>ABS(MAX(C33,0)-C32)</f>
        <v>219833</v>
      </c>
      <c r="D95" s="156">
        <f>C95/C91</f>
        <v>1.4343830423173436E-2</v>
      </c>
      <c r="E95" s="247">
        <f>E91*0.01</f>
        <v>122607.69600000001</v>
      </c>
      <c r="F95" s="247">
        <f>F91*0.01</f>
        <v>137933.658</v>
      </c>
    </row>
    <row r="96" spans="2:8" ht="13.9" x14ac:dyDescent="0.4">
      <c r="B96" s="28" t="s">
        <v>106</v>
      </c>
      <c r="C96" s="77">
        <f>MAX(C31,0)</f>
        <v>626583</v>
      </c>
      <c r="D96" s="156">
        <f>C96/C91</f>
        <v>4.0883763120383568E-2</v>
      </c>
      <c r="E96" s="248"/>
      <c r="F96" s="247">
        <f>F91*2%</f>
        <v>275867.31599999999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1.3599999999999999</v>
      </c>
      <c r="D98" s="261"/>
      <c r="E98" s="249">
        <v>1</v>
      </c>
      <c r="F98" s="249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0590.HK</v>
      </c>
      <c r="D3" s="291"/>
      <c r="E3" s="86"/>
      <c r="F3" s="3" t="s">
        <v>1</v>
      </c>
      <c r="G3" s="130">
        <v>13.92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六福珠宝</v>
      </c>
      <c r="D4" s="293"/>
      <c r="E4" s="86"/>
      <c r="F4" s="3" t="s">
        <v>3</v>
      </c>
      <c r="G4" s="296">
        <f>Inputs!C10</f>
        <v>587107850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45643</v>
      </c>
      <c r="D5" s="295"/>
      <c r="E5" s="34"/>
      <c r="F5" s="35" t="s">
        <v>96</v>
      </c>
      <c r="G5" s="288">
        <f>G3*G4/1000000</f>
        <v>8172.5412720000004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237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238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>
        <f>C21*C22*C23</f>
        <v>0.14558943313324324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0.12245710905455723</v>
      </c>
      <c r="F21" s="86"/>
      <c r="G21" s="29"/>
    </row>
    <row r="22" spans="1:8" ht="15.75" customHeight="1" x14ac:dyDescent="0.4">
      <c r="B22" s="273" t="s">
        <v>263</v>
      </c>
      <c r="C22" s="274">
        <f>Data!C48</f>
        <v>0.90933332162498015</v>
      </c>
      <c r="F22" s="140" t="s">
        <v>171</v>
      </c>
    </row>
    <row r="23" spans="1:8" ht="15.75" customHeight="1" thickBot="1" x14ac:dyDescent="0.45">
      <c r="B23" s="275" t="s">
        <v>269</v>
      </c>
      <c r="C23" s="282">
        <f>1/Data!C53</f>
        <v>1.3074429479491672</v>
      </c>
      <c r="F23" s="138" t="s">
        <v>175</v>
      </c>
      <c r="G23" s="174">
        <f>G3/(Data!C34*Data!C4/Common_Shares*Exchange_Rate)</f>
        <v>0.63530830794833737</v>
      </c>
    </row>
    <row r="24" spans="1:8" ht="15.75" customHeight="1" x14ac:dyDescent="0.4">
      <c r="B24" s="280" t="s">
        <v>257</v>
      </c>
      <c r="C24" s="281">
        <f>Fin_Analysis!I81</f>
        <v>3.8885650375487034E-3</v>
      </c>
      <c r="F24" s="138" t="s">
        <v>242</v>
      </c>
      <c r="G24" s="263">
        <f>G3/(Fin_Analysis!H86*G7)</f>
        <v>10.809756956122706</v>
      </c>
    </row>
    <row r="25" spans="1:8" ht="15.75" customHeight="1" x14ac:dyDescent="0.4">
      <c r="B25" s="135" t="s">
        <v>258</v>
      </c>
      <c r="C25" s="168">
        <f>Fin_Analysis!I80</f>
        <v>1.9999999999999997E-2</v>
      </c>
      <c r="F25" s="138" t="s">
        <v>162</v>
      </c>
      <c r="G25" s="168">
        <f>Fin_Analysis!I88</f>
        <v>0.85421929969360477</v>
      </c>
    </row>
    <row r="26" spans="1:8" ht="15.75" customHeight="1" x14ac:dyDescent="0.4">
      <c r="B26" s="136" t="s">
        <v>259</v>
      </c>
      <c r="C26" s="168">
        <f>Fin_Analysis!I80+Fin_Analysis!I82</f>
        <v>2.9999999999999995E-2</v>
      </c>
      <c r="F26" s="139" t="s">
        <v>179</v>
      </c>
      <c r="G26" s="175">
        <f>Fin_Analysis!H88*Exchange_Rate/G3</f>
        <v>7.9022988505747127E-2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241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12.828181513502498</v>
      </c>
      <c r="D29" s="127">
        <f>G29*(1+G20)</f>
        <v>25.699347187436246</v>
      </c>
      <c r="E29" s="86"/>
      <c r="F29" s="129">
        <f>IF(Fin_Analysis!C108="Profit",Fin_Analysis!F100,IF(Fin_Analysis!C108="Dividend",Fin_Analysis!F103,Fin_Analysis!F106))</f>
        <v>15.091978251179409</v>
      </c>
      <c r="G29" s="287">
        <f>IF(Fin_Analysis!C108="Profit",Fin_Analysis!I100,IF(Fin_Analysis!C108="Dividend",Fin_Analysis!I103,Fin_Analysis!I106))</f>
        <v>22.347258423857607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1602523</v>
      </c>
      <c r="G3" s="84">
        <f>C14</f>
        <v>1876773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2.6678764368153862E-2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15325962</v>
      </c>
      <c r="D6" s="197">
        <f>IF(Inputs!D25="","",Inputs!D25)</f>
        <v>11977844</v>
      </c>
      <c r="E6" s="197">
        <f>IF(Inputs!E25="","",Inputs!E25)</f>
        <v>11737803</v>
      </c>
      <c r="F6" s="197">
        <f>IF(Inputs!F25="","",Inputs!F25)</f>
        <v>8861335</v>
      </c>
      <c r="G6" s="197">
        <f>IF(Inputs!G25="","",Inputs!G25)</f>
        <v>11233771</v>
      </c>
      <c r="H6" s="197">
        <f>IF(Inputs!H25="","",Inputs!H25)</f>
        <v>15859990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0.27952593137796744</v>
      </c>
      <c r="D7" s="91">
        <f t="shared" si="1"/>
        <v>2.0450249505806095E-2</v>
      </c>
      <c r="E7" s="91">
        <f t="shared" si="1"/>
        <v>0.32460887665346139</v>
      </c>
      <c r="F7" s="91">
        <f t="shared" si="1"/>
        <v>-0.21118785490642455</v>
      </c>
      <c r="G7" s="91">
        <f t="shared" si="1"/>
        <v>-0.29169116752280422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11151623</v>
      </c>
      <c r="D8" s="196">
        <f>IF(Inputs!D26="","",Inputs!D26)</f>
        <v>8747447</v>
      </c>
      <c r="E8" s="196">
        <f>IF(Inputs!E26="","",Inputs!E26)</f>
        <v>8503976</v>
      </c>
      <c r="F8" s="196">
        <f>IF(Inputs!F26="","",Inputs!F26)</f>
        <v>6229020</v>
      </c>
      <c r="G8" s="196">
        <f>IF(Inputs!G26="","",Inputs!G26)</f>
        <v>7910751</v>
      </c>
      <c r="H8" s="196">
        <f>IF(Inputs!H26="","",Inputs!H26)</f>
        <v>11826154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4174339</v>
      </c>
      <c r="D9" s="149">
        <f t="shared" si="2"/>
        <v>3230397</v>
      </c>
      <c r="E9" s="149">
        <f t="shared" si="2"/>
        <v>3233827</v>
      </c>
      <c r="F9" s="149">
        <f t="shared" si="2"/>
        <v>2632315</v>
      </c>
      <c r="G9" s="149">
        <f t="shared" si="2"/>
        <v>3323020</v>
      </c>
      <c r="H9" s="149">
        <f t="shared" si="2"/>
        <v>4033836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2297566</v>
      </c>
      <c r="D10" s="196">
        <f>IF(Inputs!D27="","",Inputs!D27)</f>
        <v>1867515</v>
      </c>
      <c r="E10" s="196">
        <f>IF(Inputs!E27="","",Inputs!E27)</f>
        <v>1815111</v>
      </c>
      <c r="F10" s="196">
        <f>IF(Inputs!F27="","",Inputs!F27)</f>
        <v>1694480</v>
      </c>
      <c r="G10" s="196">
        <f>IF(Inputs!G27="","",Inputs!G27)</f>
        <v>2118252</v>
      </c>
      <c r="H10" s="196">
        <f>IF(Inputs!H27="","",Inputs!H27)</f>
        <v>2416769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2398.6666666666665</v>
      </c>
      <c r="G12" s="196">
        <f>IF(Inputs!G30="","",MAX(Inputs!G30,0)/(1-Fin_Analysis!$I$84))</f>
        <v>1782.6666666666667</v>
      </c>
      <c r="H12" s="196">
        <f>IF(Inputs!H30="","",MAX(Inputs!H30,0)/(1-Fin_Analysis!$I$84))</f>
        <v>14544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0.12245710905455723</v>
      </c>
      <c r="D13" s="224">
        <f t="shared" si="3"/>
        <v>0.11378358242100998</v>
      </c>
      <c r="E13" s="224">
        <f t="shared" si="3"/>
        <v>0.12086725258551366</v>
      </c>
      <c r="F13" s="224">
        <f t="shared" si="3"/>
        <v>0.10556381553494291</v>
      </c>
      <c r="G13" s="224">
        <f t="shared" si="3"/>
        <v>0.10708651024961549</v>
      </c>
      <c r="H13" s="224">
        <f t="shared" si="3"/>
        <v>0.10104186698730579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1876773</v>
      </c>
      <c r="D14" s="225">
        <f t="shared" ref="D14:M14" si="4">IF(D6="","",D9-D10-MAX(D11,0)-MAX(D12,0))</f>
        <v>1362882</v>
      </c>
      <c r="E14" s="225">
        <f t="shared" si="4"/>
        <v>1418716</v>
      </c>
      <c r="F14" s="225">
        <f t="shared" si="4"/>
        <v>935436.33333333337</v>
      </c>
      <c r="G14" s="225">
        <f t="shared" si="4"/>
        <v>1202985.3333333333</v>
      </c>
      <c r="H14" s="225">
        <f t="shared" si="4"/>
        <v>1602523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0.37706199069325153</v>
      </c>
      <c r="D15" s="227">
        <f t="shared" ref="D15:M15" si="5">IF(E14="","",IF(ABS(D14+E14)=ABS(D14)+ABS(E14),IF(D14&lt;0,-1,1)*(D14-E14)/E14,"Turn"))</f>
        <v>-3.9355304373814071E-2</v>
      </c>
      <c r="E15" s="227">
        <f t="shared" si="5"/>
        <v>0.51663555225030455</v>
      </c>
      <c r="F15" s="227">
        <f t="shared" si="5"/>
        <v>-0.22240420775426459</v>
      </c>
      <c r="G15" s="227">
        <f t="shared" si="5"/>
        <v>-0.24931789850546091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626583</v>
      </c>
      <c r="D16" s="196">
        <f>IF(Inputs!D31="","",Inputs!D31)</f>
        <v>352099</v>
      </c>
      <c r="E16" s="196">
        <f>IF(Inputs!E31="","",Inputs!E31)</f>
        <v>1045251</v>
      </c>
      <c r="F16" s="196">
        <f>IF(Inputs!F31="","",Inputs!F31)</f>
        <v>-818677</v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240</v>
      </c>
      <c r="C17" s="196">
        <f>IF(Inputs!C29="","",Inputs!C29)</f>
        <v>59596</v>
      </c>
      <c r="D17" s="196">
        <f>IF(Inputs!D29="","",Inputs!D29)</f>
        <v>20763</v>
      </c>
      <c r="E17" s="196">
        <f>IF(Inputs!E29="","",Inputs!E29)</f>
        <v>23097</v>
      </c>
      <c r="F17" s="196">
        <f>IF(Inputs!F29="","",Inputs!F29)</f>
        <v>28849</v>
      </c>
      <c r="G17" s="196">
        <f>IF(Inputs!G29="","",Inputs!G29)</f>
        <v>63075</v>
      </c>
      <c r="H17" s="196">
        <f>IF(Inputs!H29="","",Inputs!H29)</f>
        <v>34253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2.9789581887257714E-2</v>
      </c>
      <c r="D18" s="150">
        <f t="shared" si="6"/>
        <v>3.1156775793707115E-2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456554</v>
      </c>
      <c r="D19" s="196">
        <f>IF(Inputs!D32="","",Inputs!D32)</f>
        <v>373191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4.413341231043115E-2</v>
      </c>
      <c r="D20" s="150">
        <f t="shared" si="7"/>
        <v>8.9565367523571013E-3</v>
      </c>
      <c r="E20" s="150">
        <f t="shared" si="7"/>
        <v>3.8804791663312119E-2</v>
      </c>
      <c r="F20" s="150">
        <f t="shared" si="7"/>
        <v>1.5679014505150749E-2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676387</v>
      </c>
      <c r="D21" s="196">
        <f>IF(Inputs!D33="","",Inputs!D33)</f>
        <v>107280</v>
      </c>
      <c r="E21" s="196">
        <f>IF(Inputs!E33="","",Inputs!E33)</f>
        <v>455483</v>
      </c>
      <c r="F21" s="196">
        <f>IF(Inputs!F33="","",Inputs!F33)</f>
        <v>138937</v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970761</v>
      </c>
      <c r="D22" s="158">
        <f t="shared" ref="D22:M22" si="8">IF(D6="","",D14-MAX(D16,0)-MAX(D17,0)-ABS(MAX(D21,0)-MAX(D19,0)))</f>
        <v>724109</v>
      </c>
      <c r="E22" s="158">
        <f t="shared" si="8"/>
        <v>-105115</v>
      </c>
      <c r="F22" s="158">
        <f t="shared" si="8"/>
        <v>767650.33333333337</v>
      </c>
      <c r="G22" s="158">
        <f t="shared" si="8"/>
        <v>1139910.3333333333</v>
      </c>
      <c r="H22" s="158">
        <f t="shared" si="8"/>
        <v>1568270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4.7505712855088637E-2</v>
      </c>
      <c r="D23" s="151">
        <f t="shared" si="9"/>
        <v>4.5340526224919943E-2</v>
      </c>
      <c r="E23" s="151">
        <f t="shared" si="9"/>
        <v>-6.7164400356693665E-3</v>
      </c>
      <c r="F23" s="151">
        <f t="shared" si="9"/>
        <v>6.4971897575252485E-2</v>
      </c>
      <c r="G23" s="151">
        <f t="shared" si="9"/>
        <v>7.6103807884280353E-2</v>
      </c>
      <c r="H23" s="151">
        <f t="shared" si="9"/>
        <v>7.4161616747551548E-2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0.34062827557729569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-0.32656954596721205</v>
      </c>
      <c r="G25" s="228">
        <f t="shared" si="10"/>
        <v>-0.27314152962606353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16854064</v>
      </c>
      <c r="D27" s="65">
        <f>IF(D34="","",D34+D30)</f>
        <v>14687373</v>
      </c>
      <c r="E27" s="65">
        <f t="shared" ref="E27:M27" si="20">IF(E34="","",E34+E30)</f>
        <v>15987114</v>
      </c>
      <c r="F27" s="65">
        <f t="shared" si="20"/>
        <v>14270996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265773</v>
      </c>
      <c r="D28" s="196">
        <f>IF(Inputs!D35="","",Inputs!D35)</f>
        <v>213823</v>
      </c>
      <c r="E28" s="196">
        <f>IF(Inputs!E35="","",Inputs!E35)</f>
        <v>187711</v>
      </c>
      <c r="F28" s="196">
        <f>IF(Inputs!F35="","",Inputs!F35)</f>
        <v>277338</v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9672256</v>
      </c>
      <c r="D29" s="196">
        <f>IF(Inputs!D36="","",Inputs!D36)</f>
        <v>8852611</v>
      </c>
      <c r="E29" s="196">
        <f>IF(Inputs!E36="","",Inputs!E36)</f>
        <v>8769304</v>
      </c>
      <c r="F29" s="196">
        <f>IF(Inputs!F36="","",Inputs!F36)</f>
        <v>7321614</v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3990166</v>
      </c>
      <c r="D30" s="196">
        <f>IF(Inputs!D37="","",Inputs!D37)</f>
        <v>2466431</v>
      </c>
      <c r="E30" s="196">
        <f>IF(Inputs!E37="","",Inputs!E37)</f>
        <v>3908586</v>
      </c>
      <c r="F30" s="196">
        <f>IF(Inputs!F37="","",Inputs!F37)</f>
        <v>2946772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1715502</v>
      </c>
      <c r="D31" s="196">
        <f>IF(Inputs!D39="","",Inputs!D39)</f>
        <v>1035175</v>
      </c>
      <c r="E31" s="196">
        <f>IF(Inputs!E39="","",Inputs!E39)</f>
        <v>1587989</v>
      </c>
      <c r="F31" s="196">
        <f>IF(Inputs!F39="","",Inputs!F39)</f>
        <v>1050082</v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319420</v>
      </c>
      <c r="D32" s="196">
        <f>IF(Inputs!D40="","",Inputs!D40)</f>
        <v>67759</v>
      </c>
      <c r="E32" s="196">
        <f>IF(Inputs!E40="","",Inputs!E40)</f>
        <v>153013</v>
      </c>
      <c r="F32" s="196">
        <f>IF(Inputs!F40="","",Inputs!F40)</f>
        <v>81854</v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2034922</v>
      </c>
      <c r="D33" s="77">
        <f t="shared" ref="D33" si="22">IF(OR(D31="",D32=""),"",D31+D32)</f>
        <v>1102934</v>
      </c>
      <c r="E33" s="77">
        <f t="shared" ref="E33" si="23">IF(OR(E31="",E32=""),"",E31+E32)</f>
        <v>1741002</v>
      </c>
      <c r="F33" s="77">
        <f t="shared" ref="F33" si="24">IF(OR(F31="",F32=""),"",F31+F32)</f>
        <v>1131936</v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12863898</v>
      </c>
      <c r="D34" s="196">
        <f>IF(Inputs!D41="","",Inputs!D41)</f>
        <v>12220942</v>
      </c>
      <c r="E34" s="196">
        <f>IF(Inputs!E41="","",Inputs!E41)</f>
        <v>12078528</v>
      </c>
      <c r="F34" s="196">
        <f>IF(Inputs!F41="","",Inputs!F41)</f>
        <v>11324224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-26962</v>
      </c>
      <c r="D35" s="196">
        <f>IF(Inputs!D42="","",Inputs!D42)</f>
        <v>-498</v>
      </c>
      <c r="E35" s="196">
        <f>IF(Inputs!E42="","",Inputs!E42)</f>
        <v>468</v>
      </c>
      <c r="F35" s="196">
        <f>IF(Inputs!F42="","",Inputs!F42)</f>
        <v>411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>
        <f>IF(Inputs!D43="","",Inputs!D43)</f>
        <v>3475378</v>
      </c>
      <c r="E36" s="196">
        <f>IF(Inputs!E43="","",Inputs!E43)</f>
        <v>4499643</v>
      </c>
      <c r="F36" s="196">
        <f>IF(Inputs!F43="","",Inputs!F43)</f>
        <v>4455433</v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13930119</v>
      </c>
      <c r="D37" s="65">
        <f t="shared" ref="D37:M37" si="32">IF(D36="","",D27-D36)</f>
        <v>11211995</v>
      </c>
      <c r="E37" s="65">
        <f t="shared" si="32"/>
        <v>11487471</v>
      </c>
      <c r="F37" s="65">
        <f t="shared" si="32"/>
        <v>9815563</v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0.13472770763839131</v>
      </c>
      <c r="D38" s="153">
        <f>IF(D6="","",D14/MAX(D37,0))</f>
        <v>0.12155570886358762</v>
      </c>
      <c r="E38" s="153">
        <f>IF(E6="","",E14/MAX(E37,0))</f>
        <v>0.12350116052523658</v>
      </c>
      <c r="F38" s="153">
        <f t="shared" ref="F38:M38" si="33">IF(F37="","",F14/F37)</f>
        <v>9.5301342707833817E-2</v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0.72762956087193742</v>
      </c>
      <c r="D40" s="154">
        <f t="shared" si="34"/>
        <v>0.7303022981431383</v>
      </c>
      <c r="E40" s="154">
        <f t="shared" si="34"/>
        <v>0.7244946946204498</v>
      </c>
      <c r="F40" s="154">
        <f t="shared" si="34"/>
        <v>0.70294374380383995</v>
      </c>
      <c r="G40" s="154">
        <f t="shared" si="34"/>
        <v>0.70419372087965826</v>
      </c>
      <c r="H40" s="154">
        <f t="shared" si="34"/>
        <v>0.74565961264792724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6.3340950473451521E-2</v>
      </c>
      <c r="D46" s="151">
        <f t="shared" si="40"/>
        <v>6.0454034966559926E-2</v>
      </c>
      <c r="E46" s="151">
        <f t="shared" si="40"/>
        <v>-8.9552533808924892E-3</v>
      </c>
      <c r="F46" s="151">
        <f t="shared" si="40"/>
        <v>8.6629196767003327E-2</v>
      </c>
      <c r="G46" s="151">
        <f t="shared" si="40"/>
        <v>0.10147174384570713</v>
      </c>
      <c r="H46" s="151">
        <f t="shared" si="40"/>
        <v>9.8882155663402055E-2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>
        <f t="shared" ref="C48:M48" si="41">IF(C6="","",C6/C27)</f>
        <v>0.90933332162498015</v>
      </c>
      <c r="D48" s="267">
        <f t="shared" si="41"/>
        <v>0.81551983462257005</v>
      </c>
      <c r="E48" s="267">
        <f t="shared" si="41"/>
        <v>0.73420399704411943</v>
      </c>
      <c r="F48" s="267">
        <f t="shared" si="41"/>
        <v>0.62093318504188499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>
        <f t="shared" ref="C53:M53" si="45">IF(C34="","",(C34-C35)/C27)</f>
        <v>0.76485172952944758</v>
      </c>
      <c r="D53" s="154">
        <f t="shared" si="45"/>
        <v>0.83210523760784183</v>
      </c>
      <c r="E53" s="154">
        <f t="shared" si="45"/>
        <v>0.755487200504106</v>
      </c>
      <c r="F53" s="154">
        <f t="shared" si="45"/>
        <v>0.79348442112940121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0.4770507174230757</v>
      </c>
      <c r="D54" s="155">
        <f t="shared" si="46"/>
        <v>0.6565297651536719</v>
      </c>
      <c r="E54" s="155">
        <f t="shared" si="46"/>
        <v>-6.0376151204880865E-2</v>
      </c>
      <c r="F54" s="155">
        <f t="shared" si="46"/>
        <v>0.67817467889821803</v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>
        <f t="shared" ref="C58:M58" si="49">IF(C14="","",C14/(C34-C35))</f>
        <v>0.14558943313324324</v>
      </c>
      <c r="D58" s="269">
        <f t="shared" si="49"/>
        <v>0.11151566427524089</v>
      </c>
      <c r="E58" s="269">
        <f t="shared" si="49"/>
        <v>0.11746224145268362</v>
      </c>
      <c r="F58" s="269">
        <f t="shared" si="49"/>
        <v>8.2607893059814155E-2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>
        <f t="shared" ref="C59:M59" si="50">IF(C22="","",C22/(C34-C35))</f>
        <v>7.5306147146117483E-2</v>
      </c>
      <c r="D59" s="269">
        <f t="shared" si="50"/>
        <v>5.9249073758902385E-2</v>
      </c>
      <c r="E59" s="269">
        <f t="shared" si="50"/>
        <v>-8.7029705101647117E-3</v>
      </c>
      <c r="F59" s="269">
        <f t="shared" si="50"/>
        <v>6.7790799206356847E-2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12863898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12890860</v>
      </c>
      <c r="K3" s="24"/>
    </row>
    <row r="4" spans="1:11" ht="15" customHeight="1" x14ac:dyDescent="0.4">
      <c r="B4" s="3" t="s">
        <v>23</v>
      </c>
      <c r="C4" s="86"/>
      <c r="D4" s="196">
        <f>Inputs!C42</f>
        <v>-26962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3511699.0500000007</v>
      </c>
      <c r="E6" s="56">
        <f>1-D6/D3</f>
        <v>0.72701127994018599</v>
      </c>
      <c r="F6" s="86"/>
      <c r="G6" s="86"/>
      <c r="H6" s="1" t="s">
        <v>26</v>
      </c>
      <c r="I6" s="63">
        <f>(C24+C25)/I28</f>
        <v>0.74800394334750619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5.9813525743183318</v>
      </c>
      <c r="E7" s="11" t="str">
        <f>Dashboard!H3</f>
        <v>HKD</v>
      </c>
      <c r="H7" s="1" t="s">
        <v>27</v>
      </c>
      <c r="I7" s="63">
        <f>C24/I28</f>
        <v>0.64376313868623514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1998219</v>
      </c>
      <c r="D11" s="195">
        <f>Inputs!D48</f>
        <v>0.9</v>
      </c>
      <c r="E11" s="87">
        <f t="shared" ref="E11:E22" si="0">C11*D11</f>
        <v>1798397.1</v>
      </c>
      <c r="F11" s="111"/>
      <c r="G11" s="86"/>
      <c r="H11" s="3" t="s">
        <v>35</v>
      </c>
      <c r="I11" s="40">
        <f>Inputs!C73</f>
        <v>1427805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287697</v>
      </c>
      <c r="J12" s="86"/>
      <c r="K12" s="24"/>
    </row>
    <row r="13" spans="1:11" ht="13.9" x14ac:dyDescent="0.4">
      <c r="B13" s="3" t="s">
        <v>112</v>
      </c>
      <c r="C13" s="40">
        <f>Inputs!C50</f>
        <v>265773</v>
      </c>
      <c r="D13" s="195">
        <f>Inputs!D50</f>
        <v>0.6</v>
      </c>
      <c r="E13" s="87">
        <f t="shared" si="0"/>
        <v>159463.79999999999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1715502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366595</v>
      </c>
      <c r="D17" s="195">
        <f>Inputs!D54</f>
        <v>0.1</v>
      </c>
      <c r="E17" s="87">
        <f t="shared" si="0"/>
        <v>36659.5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9672256</v>
      </c>
      <c r="D18" s="195">
        <f>Inputs!D55</f>
        <v>0.5</v>
      </c>
      <c r="E18" s="87">
        <f t="shared" si="0"/>
        <v>4836128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29465</v>
      </c>
      <c r="D21" s="195">
        <f>Inputs!D58</f>
        <v>0.9</v>
      </c>
      <c r="E21" s="87">
        <f t="shared" si="0"/>
        <v>26518.5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1801307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2263992</v>
      </c>
      <c r="D24" s="62">
        <f>IF(E24=0,0,E24/C24)</f>
        <v>0.86478260523888784</v>
      </c>
      <c r="E24" s="87">
        <f>SUM(E11:E14)</f>
        <v>1957860.9000000001</v>
      </c>
      <c r="F24" s="112">
        <f>E24/$E$28</f>
        <v>0.28552038014416714</v>
      </c>
      <c r="G24" s="86"/>
    </row>
    <row r="25" spans="2:10" ht="15" customHeight="1" x14ac:dyDescent="0.4">
      <c r="B25" s="23" t="s">
        <v>51</v>
      </c>
      <c r="C25" s="61">
        <f>SUM(C15:C17)</f>
        <v>366595</v>
      </c>
      <c r="D25" s="62">
        <f>IF(E25=0,0,E25/C25)</f>
        <v>0.1</v>
      </c>
      <c r="E25" s="87">
        <f>SUM(E15:E17)</f>
        <v>36659.5</v>
      </c>
      <c r="F25" s="112">
        <f>E25/$E$28</f>
        <v>5.3461583383656594E-3</v>
      </c>
      <c r="G25" s="86"/>
      <c r="H25" s="23" t="s">
        <v>52</v>
      </c>
      <c r="I25" s="63">
        <f>E28/I28</f>
        <v>1.9498263624780305</v>
      </c>
    </row>
    <row r="26" spans="2:10" ht="15" customHeight="1" x14ac:dyDescent="0.4">
      <c r="B26" s="23" t="s">
        <v>53</v>
      </c>
      <c r="C26" s="61">
        <f>C18+C19+C20</f>
        <v>9672256</v>
      </c>
      <c r="D26" s="62">
        <f>IF(E26=0,0,E26/C26)</f>
        <v>0.5</v>
      </c>
      <c r="E26" s="87">
        <f>E18+E19+E20</f>
        <v>4836128</v>
      </c>
      <c r="F26" s="112">
        <f>E26/$E$28</f>
        <v>0.70526619382707456</v>
      </c>
      <c r="G26" s="86"/>
      <c r="H26" s="23" t="s">
        <v>54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29465</v>
      </c>
      <c r="D27" s="62">
        <f>IF(E27=0,0,E27/C27)</f>
        <v>0.9</v>
      </c>
      <c r="E27" s="87">
        <f>E21+E22</f>
        <v>26518.5</v>
      </c>
      <c r="F27" s="112">
        <f>E27/$E$28</f>
        <v>3.8672676903926603E-3</v>
      </c>
      <c r="G27" s="86"/>
      <c r="H27" s="23" t="s">
        <v>56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1"/>
      <c r="G28" s="86"/>
      <c r="H28" s="78" t="s">
        <v>16</v>
      </c>
      <c r="I28" s="202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319420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103050</v>
      </c>
      <c r="D34" s="195">
        <f>Inputs!D64</f>
        <v>0.4</v>
      </c>
      <c r="E34" s="87">
        <f t="shared" si="1"/>
        <v>41220</v>
      </c>
      <c r="F34" s="111"/>
      <c r="G34" s="86"/>
      <c r="H34" s="1" t="s">
        <v>74</v>
      </c>
      <c r="I34" s="83">
        <f>SUM(I30:I33)</f>
        <v>319420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925726</v>
      </c>
      <c r="D36" s="195">
        <f>Inputs!D66</f>
        <v>0.2</v>
      </c>
      <c r="E36" s="87">
        <f t="shared" si="1"/>
        <v>185145.2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2522337</v>
      </c>
      <c r="D38" s="195">
        <f>Inputs!D68</f>
        <v>0.1</v>
      </c>
      <c r="E38" s="87">
        <f t="shared" si="1"/>
        <v>252233.7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538321</v>
      </c>
      <c r="D40" s="195">
        <f>Inputs!D70</f>
        <v>0.05</v>
      </c>
      <c r="E40" s="87">
        <f t="shared" si="1"/>
        <v>26916.050000000003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154648</v>
      </c>
      <c r="D41" s="195">
        <f>Inputs!D71</f>
        <v>0.9</v>
      </c>
      <c r="E41" s="87">
        <f t="shared" si="1"/>
        <v>139183.20000000001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277674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153937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103050</v>
      </c>
      <c r="D45" s="62">
        <f>IF(E45=0,0,E45/C45)</f>
        <v>0.4</v>
      </c>
      <c r="E45" s="87">
        <f>SUM(E32:E35)</f>
        <v>41220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3448063</v>
      </c>
      <c r="D46" s="62">
        <f>IF(E46=0,0,E46/C46)</f>
        <v>0.12684771130921912</v>
      </c>
      <c r="E46" s="87">
        <f>E36+E37+E38+E39</f>
        <v>437378.9</v>
      </c>
      <c r="F46" s="86"/>
      <c r="G46" s="86"/>
      <c r="H46" s="23" t="s">
        <v>77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970643</v>
      </c>
      <c r="D47" s="62">
        <f>IF(E47=0,0,E47/C47)</f>
        <v>0.17112290512577744</v>
      </c>
      <c r="E47" s="87">
        <f>E40+E41+E42</f>
        <v>166099.25</v>
      </c>
      <c r="F47" s="86"/>
      <c r="G47" s="86"/>
      <c r="H47" s="23" t="s">
        <v>79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4521756</v>
      </c>
      <c r="D48" s="81">
        <f>E48/C48</f>
        <v>0.1425769435590952</v>
      </c>
      <c r="E48" s="76">
        <f>SUM(E30:E42)</f>
        <v>644698.15</v>
      </c>
      <c r="F48" s="86"/>
      <c r="G48" s="86"/>
      <c r="H48" s="80" t="s">
        <v>81</v>
      </c>
      <c r="I48" s="277">
        <f>I49-I28</f>
        <v>473357</v>
      </c>
      <c r="J48" s="8"/>
    </row>
    <row r="49" spans="2:11" ht="15" customHeight="1" thickTop="1" x14ac:dyDescent="0.4">
      <c r="B49" s="3" t="s">
        <v>14</v>
      </c>
      <c r="C49" s="61">
        <f>Inputs!C41+Inputs!C37</f>
        <v>16854064</v>
      </c>
      <c r="D49" s="56">
        <f>E49/C49</f>
        <v>0.44510718898421181</v>
      </c>
      <c r="E49" s="87">
        <f>E28+E48</f>
        <v>7501865.0500000007</v>
      </c>
      <c r="F49" s="86"/>
      <c r="G49" s="86"/>
      <c r="H49" s="3" t="s">
        <v>82</v>
      </c>
      <c r="I49" s="40">
        <f>Inputs!C37</f>
        <v>3990166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2034922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1998219</v>
      </c>
      <c r="D62" s="106">
        <f t="shared" si="2"/>
        <v>0.9</v>
      </c>
      <c r="E62" s="116">
        <f>E11+E30</f>
        <v>1798397.1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2034922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1955244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15325962</v>
      </c>
      <c r="D74" s="204"/>
      <c r="E74" s="233">
        <f>Inputs!E91</f>
        <v>12260769.600000001</v>
      </c>
      <c r="F74" s="204"/>
      <c r="H74" s="233">
        <f>Inputs!F91</f>
        <v>13793365.800000001</v>
      </c>
      <c r="I74" s="204"/>
      <c r="K74" s="24"/>
    </row>
    <row r="75" spans="1:11" ht="15" customHeight="1" x14ac:dyDescent="0.4">
      <c r="B75" s="103" t="s">
        <v>102</v>
      </c>
      <c r="C75" s="77">
        <f>Data!C8</f>
        <v>11151623</v>
      </c>
      <c r="D75" s="156">
        <f>C75/$C$74</f>
        <v>0.72762956087193742</v>
      </c>
      <c r="E75" s="233">
        <f>Inputs!E92</f>
        <v>8921298.4000000004</v>
      </c>
      <c r="F75" s="157">
        <f>E75/E74</f>
        <v>0.72762956087193742</v>
      </c>
      <c r="H75" s="233">
        <f>Inputs!F92</f>
        <v>10036460.700000001</v>
      </c>
      <c r="I75" s="157">
        <f>H75/$H$74</f>
        <v>0.72762956087193753</v>
      </c>
      <c r="K75" s="24"/>
    </row>
    <row r="76" spans="1:11" ht="15" customHeight="1" x14ac:dyDescent="0.4">
      <c r="B76" s="35" t="s">
        <v>92</v>
      </c>
      <c r="C76" s="158">
        <f>C74-C75</f>
        <v>4174339</v>
      </c>
      <c r="D76" s="205"/>
      <c r="E76" s="159">
        <f>E74-E75</f>
        <v>3339471.2000000011</v>
      </c>
      <c r="F76" s="205"/>
      <c r="H76" s="159">
        <f>H74-H75</f>
        <v>3756905.0999999996</v>
      </c>
      <c r="I76" s="205"/>
      <c r="K76" s="24"/>
    </row>
    <row r="77" spans="1:11" ht="15" customHeight="1" x14ac:dyDescent="0.4">
      <c r="B77" s="103" t="s">
        <v>232</v>
      </c>
      <c r="C77" s="77">
        <f>Data!C10+MAX(Data!C11,0)</f>
        <v>2297566</v>
      </c>
      <c r="D77" s="156">
        <f>C77/$C$74</f>
        <v>0.14991333007350532</v>
      </c>
      <c r="E77" s="233">
        <f>Inputs!E93</f>
        <v>2027931.2918400001</v>
      </c>
      <c r="F77" s="157">
        <f>E77/E74</f>
        <v>0.16539999999999999</v>
      </c>
      <c r="H77" s="233">
        <f>Inputs!F93</f>
        <v>2281422.7033199999</v>
      </c>
      <c r="I77" s="157">
        <f>H77/$H$74</f>
        <v>0.16539999999999999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1876773</v>
      </c>
      <c r="D79" s="253">
        <f>C79/C74</f>
        <v>0.12245710905455723</v>
      </c>
      <c r="E79" s="254">
        <f>E76-E77-E78</f>
        <v>1311539.908160001</v>
      </c>
      <c r="F79" s="253">
        <f>E79/E74</f>
        <v>0.10697043912806263</v>
      </c>
      <c r="G79" s="255"/>
      <c r="H79" s="254">
        <f>H76-H77-H78</f>
        <v>1475482.3966799998</v>
      </c>
      <c r="I79" s="253">
        <f>H79/H74</f>
        <v>0.10697043912806255</v>
      </c>
      <c r="K79" s="24"/>
    </row>
    <row r="80" spans="1:11" ht="15" customHeight="1" x14ac:dyDescent="0.4">
      <c r="B80" s="28" t="s">
        <v>106</v>
      </c>
      <c r="C80" s="77">
        <f>MAX(Data!C16,0)</f>
        <v>626583</v>
      </c>
      <c r="D80" s="156">
        <f>C80/$C$74</f>
        <v>4.0883763120383568E-2</v>
      </c>
      <c r="E80" s="177">
        <f>E74*F80</f>
        <v>245215.39199999999</v>
      </c>
      <c r="F80" s="157">
        <f>I80</f>
        <v>1.9999999999999997E-2</v>
      </c>
      <c r="H80" s="233">
        <f>Inputs!F96</f>
        <v>275867.31599999999</v>
      </c>
      <c r="I80" s="157">
        <f>H80/$H$74</f>
        <v>1.9999999999999997E-2</v>
      </c>
      <c r="K80" s="178" t="s">
        <v>126</v>
      </c>
    </row>
    <row r="81" spans="1:11" ht="15" customHeight="1" x14ac:dyDescent="0.4">
      <c r="B81" s="103" t="s">
        <v>240</v>
      </c>
      <c r="C81" s="77">
        <f>MAX(Data!C17,0)</f>
        <v>59596</v>
      </c>
      <c r="D81" s="156">
        <f>C81/$C$74</f>
        <v>3.8885650375487034E-3</v>
      </c>
      <c r="E81" s="177">
        <f>E74*F81</f>
        <v>47676.80000000001</v>
      </c>
      <c r="F81" s="157">
        <f>I81</f>
        <v>3.8885650375487034E-3</v>
      </c>
      <c r="H81" s="233">
        <f>Inputs!F94</f>
        <v>53636.4</v>
      </c>
      <c r="I81" s="157">
        <f>H81/$H$74</f>
        <v>3.8885650375487034E-3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219833</v>
      </c>
      <c r="D82" s="156">
        <f>C82/$C$74</f>
        <v>1.4343830423173436E-2</v>
      </c>
      <c r="E82" s="233">
        <f>Inputs!E95</f>
        <v>122607.69600000001</v>
      </c>
      <c r="F82" s="157">
        <f>E82/E74</f>
        <v>0.01</v>
      </c>
      <c r="H82" s="233">
        <f>Inputs!F95</f>
        <v>137933.658</v>
      </c>
      <c r="I82" s="157">
        <f>H82/$H$74</f>
        <v>9.9999999999999985E-3</v>
      </c>
      <c r="K82" s="24"/>
    </row>
    <row r="83" spans="1:11" ht="15" customHeight="1" thickBot="1" x14ac:dyDescent="0.45">
      <c r="B83" s="104" t="s">
        <v>120</v>
      </c>
      <c r="C83" s="160">
        <f>C79-C81-C82-C80</f>
        <v>970761</v>
      </c>
      <c r="D83" s="161">
        <f>C83/$C$74</f>
        <v>6.3340950473451521E-2</v>
      </c>
      <c r="E83" s="162">
        <f>E79-E81-E82-E80</f>
        <v>896040.020160001</v>
      </c>
      <c r="F83" s="161">
        <f>E83/E74</f>
        <v>7.3081874090513935E-2</v>
      </c>
      <c r="H83" s="162">
        <f>H79-H81-H82-H80</f>
        <v>1008045.0226799998</v>
      </c>
      <c r="I83" s="161">
        <f>H83/$H$74</f>
        <v>7.3081874090513838E-2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728070.75</v>
      </c>
      <c r="D85" s="253">
        <f>C85/$C$74</f>
        <v>4.7505712855088637E-2</v>
      </c>
      <c r="E85" s="259">
        <f>E83*(1-F84)</f>
        <v>672030.01512000081</v>
      </c>
      <c r="F85" s="253">
        <f>E85/E74</f>
        <v>5.4811405567885454E-2</v>
      </c>
      <c r="G85" s="255"/>
      <c r="H85" s="259">
        <f>H83*(1-I84)</f>
        <v>756033.76700999984</v>
      </c>
      <c r="I85" s="253">
        <f>H85/$H$74</f>
        <v>5.4811405567885378E-2</v>
      </c>
      <c r="K85" s="24"/>
    </row>
    <row r="86" spans="1:11" ht="15" customHeight="1" x14ac:dyDescent="0.4">
      <c r="B86" s="86" t="s">
        <v>152</v>
      </c>
      <c r="C86" s="164">
        <f>C85*Data!C4/Common_Shares</f>
        <v>1.2400971133327547</v>
      </c>
      <c r="D86" s="204"/>
      <c r="E86" s="165">
        <f>E85*Data!C4/Common_Shares</f>
        <v>1.1446449151037597</v>
      </c>
      <c r="F86" s="204"/>
      <c r="H86" s="165">
        <f>H85*Data!C4/Common_Shares</f>
        <v>1.2877255294917278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8.9087436302640433E-2</v>
      </c>
      <c r="D87" s="204"/>
      <c r="E87" s="257">
        <f>E86*Exchange_Rate/Dashboard!G3</f>
        <v>8.2230238154005722E-2</v>
      </c>
      <c r="F87" s="204"/>
      <c r="H87" s="257">
        <f>H86*Exchange_Rate/Dashboard!G3</f>
        <v>9.2509017923256304E-2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1.3599999999999999</v>
      </c>
      <c r="D88" s="163">
        <f>C88/C86</f>
        <v>1.0966883039869408</v>
      </c>
      <c r="E88" s="167">
        <f>Inputs!E98</f>
        <v>1</v>
      </c>
      <c r="F88" s="163">
        <f>E88/E86</f>
        <v>0.87363337468663993</v>
      </c>
      <c r="H88" s="167">
        <f>Inputs!F98</f>
        <v>1.1000000000000001</v>
      </c>
      <c r="I88" s="163">
        <f>H88/H86</f>
        <v>0.85421929969360477</v>
      </c>
      <c r="K88" s="24"/>
    </row>
    <row r="89" spans="1:11" ht="15" customHeight="1" x14ac:dyDescent="0.4">
      <c r="B89" s="86" t="s">
        <v>206</v>
      </c>
      <c r="C89" s="256">
        <f>C88*Exchange_Rate/Dashboard!G3</f>
        <v>9.7701149425287348E-2</v>
      </c>
      <c r="D89" s="204"/>
      <c r="E89" s="256">
        <f>E88*Exchange_Rate/Dashboard!G3</f>
        <v>7.183908045977011E-2</v>
      </c>
      <c r="F89" s="204"/>
      <c r="H89" s="256">
        <f>H88*Exchange_Rate/Dashboard!G3</f>
        <v>7.9022988505747127E-2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28.029629212940176</v>
      </c>
      <c r="H93" s="86" t="s">
        <v>195</v>
      </c>
      <c r="I93" s="142">
        <f>FV(H87,D93,0,-(H86/(C93-D94)))*Exchange_Rate</f>
        <v>33.059532396455005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23.334375789384804</v>
      </c>
      <c r="H94" s="86" t="s">
        <v>196</v>
      </c>
      <c r="I94" s="142">
        <f>FV(H89,D93,0,-(H88/(C93-D94)))*Exchange_Rate</f>
        <v>26.539602905474876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9649957.3063961584</v>
      </c>
      <c r="D97" s="208"/>
      <c r="E97" s="121">
        <f>PV(C94,D93,0,-F93)</f>
        <v>13.935679543711171</v>
      </c>
      <c r="F97" s="208"/>
      <c r="H97" s="121">
        <f>PV(C94,D93,0,-I93)</f>
        <v>16.43643038735755</v>
      </c>
      <c r="I97" s="121">
        <f>PV(C93,D93,0,-I93)</f>
        <v>22.434771646513376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-51379.699999999953</v>
      </c>
      <c r="D99" s="209"/>
      <c r="E99" s="143">
        <f>IF(H99&gt;0,H99*(1-C94),H99*(1+C94))</f>
        <v>-0.1006402060541346</v>
      </c>
      <c r="F99" s="209"/>
      <c r="H99" s="143">
        <f>C99*Data!$C$4/Common_Shares</f>
        <v>-8.7513222655769218E-2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9598577.6063961592</v>
      </c>
      <c r="D100" s="108">
        <f>MIN(F100*(1-C94),E100)</f>
        <v>12.828181513502498</v>
      </c>
      <c r="E100" s="108">
        <f>MAX(E97+H98+E99,0)</f>
        <v>13.835039337657037</v>
      </c>
      <c r="F100" s="108">
        <f>(E100+H100)/2</f>
        <v>15.091978251179409</v>
      </c>
      <c r="H100" s="108">
        <f>MAX(C100*Data!$C$4/Common_Shares,0)</f>
        <v>16.348917164701781</v>
      </c>
      <c r="I100" s="108">
        <f>MAX(I97+H98+H99,0)</f>
        <v>22.347258423857607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7746813.5935885897</v>
      </c>
      <c r="D103" s="108">
        <f>MIN(F103*(1-C94),E103)</f>
        <v>10.538377309134891</v>
      </c>
      <c r="E103" s="121">
        <f>PV(C94,D93,0,-F94)</f>
        <v>11.601308775189793</v>
      </c>
      <c r="F103" s="108">
        <f>(E103+H103)/2</f>
        <v>12.3980909519234</v>
      </c>
      <c r="H103" s="121">
        <f>PV(C94,D93,0,-I94)</f>
        <v>13.194873128657008</v>
      </c>
      <c r="I103" s="108">
        <f>PV(C93,D93,0,-I94)</f>
        <v>18.010234495552574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7466939.8261925299</v>
      </c>
      <c r="D106" s="108">
        <f>(D100+D103)/2</f>
        <v>11.683279411318694</v>
      </c>
      <c r="E106" s="121">
        <f>(E100+E103)/2</f>
        <v>12.718174056423415</v>
      </c>
      <c r="F106" s="108">
        <f>(F100+F103)/2</f>
        <v>13.745034601551405</v>
      </c>
      <c r="H106" s="121">
        <f>(H100+H103)/2</f>
        <v>14.771895146679395</v>
      </c>
      <c r="I106" s="121">
        <f>(I100+I103)/2</f>
        <v>20.178746459705089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