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55642EC-902D-4212-BE1A-BC0AC009D4A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B47" i="4"/>
  <c r="C49" i="3"/>
  <c r="E56" i="2"/>
  <c r="J56" i="2"/>
  <c r="M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D53" i="4"/>
  <c r="L56" i="2"/>
  <c r="D56" i="2"/>
  <c r="K56" i="2"/>
  <c r="I56" i="2"/>
  <c r="H56" i="2"/>
  <c r="G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<sst xmlns="http://schemas.openxmlformats.org/spreadsheetml/2006/main" count="392" uniqueCount="277">
  <si>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</si>
  <si>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</si>
  <si>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</si>
  <si>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</si>
  <si>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</si>
  <si>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</si>
  <si>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</si>
  <si>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</si>
  <si>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</si>
  <si>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</si>
  <si>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</si>
  <si>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</si>
  <si>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</si>
  <si>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</si>
  <si>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</si>
  <si>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</si>
  <si>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</si>
  <si>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</si>
  <si>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</si>
  <si>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</si>
  <si>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</si>
  <si>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</si>
  <si>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</si>
  <si>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</si>
  <si>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</si>
  <si>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</si>
  <si>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</si>
  <si>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</si>
  <si>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</si>
  <si>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</si>
  <si>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</si>
  <si>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</si>
  <si>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</si>
  <si>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</si>
  <si>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</si>
  <si>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</si>
  <si>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</si>
  <si>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</si>
  <si>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</si>
  <si>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</si>
  <si>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</si>
  <si>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</si>
  <si>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</si>
  <si>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</si>
  <si>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</si>
  <si>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</si>
  <si>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</si>
  <si>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</si>
  <si>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</si>
  <si>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</si>
  <si>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</si>
  <si>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</si>
  <si>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</si>
  <si>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</si>
  <si>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</si>
  <si>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</si>
  <si>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</si>
  <si>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</si>
  <si>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</si>
  <si>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</si>
  <si>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</si>
  <si>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</si>
  <si>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</si>
  <si>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</si>
  <si>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</si>
  <si>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</si>
  <si>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</si>
  <si>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</si>
  <si>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</si>
  <si>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</si>
  <si>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</si>
  <si>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</si>
  <si>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</si>
  <si>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</si>
  <si>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</si>
  <si>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</si>
  <si>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</si>
  <si>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</si>
  <si>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</si>
  <si>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</si>
  <si>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</si>
  <si>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</si>
  <si>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</si>
  <si>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</si>
  <si>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</si>
  <si>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</si>
  <si>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</si>
  <si>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</si>
  <si>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</si>
  <si>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</si>
  <si>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</si>
  <si>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</si>
  <si>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</si>
  <si>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</si>
  <si>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</si>
  <si>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</si>
  <si>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</si>
  <si>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</si>
  <si>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</si>
  <si>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</si>
  <si>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</si>
  <si>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</si>
  <si>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</si>
  <si>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</si>
  <si>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</si>
  <si>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</si>
  <si>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</si>
  <si>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</si>
  <si>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</si>
  <si>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</si>
  <si>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</si>
  <si>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</si>
  <si>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</si>
  <si>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</si>
  <si>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</si>
  <si>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</si>
  <si>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</si>
  <si>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</si>
  <si>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</si>
  <si>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</si>
  <si>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</si>
  <si>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</si>
  <si>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</si>
  <si>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</si>
  <si>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</si>
  <si>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</si>
  <si>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</si>
  <si>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</si>
  <si>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</si>
  <si>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</si>
  <si>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</si>
  <si>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</si>
  <si>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</si>
  <si>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</si>
  <si>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</si>
  <si>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</si>
  <si>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</si>
  <si>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</si>
  <si>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</si>
  <si>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</si>
  <si>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</si>
  <si>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</si>
  <si>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</si>
  <si>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</si>
  <si>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</si>
  <si>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</si>
  <si>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</si>
  <si>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</si>
  <si>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</si>
  <si>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</si>
  <si>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</si>
  <si>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</si>
  <si>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</si>
  <si>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</si>
  <si>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</si>
  <si>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</si>
  <si>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</si>
  <si>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</si>
  <si>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</si>
  <si>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</si>
  <si>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</si>
  <si>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</si>
  <si>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</si>
  <si>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</si>
  <si>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</si>
  <si>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</si>
  <si>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</si>
  <si>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</si>
  <si>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</si>
  <si>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</si>
  <si>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</si>
  <si>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</si>
  <si>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</si>
  <si>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</si>
  <si>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</si>
  <si>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</si>
  <si>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</si>
  <si>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</si>
  <si>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</si>
  <si>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</si>
  <si>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</si>
  <si>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</si>
  <si>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</si>
  <si>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</si>
  <si>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</si>
  <si>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</si>
  <si>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</si>
  <si>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</si>
  <si>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</si>
  <si>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</si>
  <si>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</si>
  <si>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</si>
  <si>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</si>
  <si>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</si>
  <si>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</si>
  <si>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</si>
  <si>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</si>
  <si>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</si>
  <si>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</si>
  <si>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</si>
  <si>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</si>
  <si>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</si>
  <si>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</si>
  <si>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</si>
  <si>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</si>
  <si>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</si>
  <si>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</si>
  <si>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</si>
  <si>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</si>
  <si>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</si>
  <si>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</si>
  <si>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</si>
  <si>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</si>
  <si>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</si>
  <si>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</si>
  <si>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</si>
  <si>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</si>
  <si>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</si>
  <si>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</si>
  <si>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</si>
  <si>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</si>
  <si>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</si>
  <si>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</si>
  <si>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</si>
  <si>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</si>
  <si>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</si>
  <si>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</si>
  <si>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</si>
  <si>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</si>
  <si>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</si>
  <si>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</si>
  <si>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</si>
  <si>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</si>
  <si>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</si>
  <si>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</si>
  <si>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</si>
  <si>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</si>
  <si>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</si>
  <si>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</si>
  <si>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</si>
  <si>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</si>
  <si>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</si>
  <si>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</si>
  <si>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</si>
  <si>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</si>
  <si>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</si>
  <si>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</si>
  <si>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</si>
  <si>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</si>
  <si>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</si>
  <si>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</si>
  <si>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</si>
  <si>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</si>
  <si>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</si>
  <si>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</si>
  <si>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</si>
  <si>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</si>
  <si>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</si>
  <si>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</si>
  <si>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</si>
  <si>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</si>
  <si>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</si>
  <si>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</si>
  <si>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</si>
  <si>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</si>
  <si>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</si>
  <si>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</si>
  <si>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</si>
  <si>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</si>
  <si>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</si>
  <si>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0639.HK</t>
  </si>
  <si>
    <t>首鋼資源</t>
  </si>
  <si>
    <t>Tier 3</t>
  </si>
  <si>
    <t>C0017</t>
  </si>
  <si>
    <t>disagree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</si>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</sst>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270</v>
      </c>
    </row>
    <row r="5" spans="1:5" ht="13.9" x14ac:dyDescent="0.4">
      <c r="B5" s="139" t="s">
        <v>181</v>
      </c>
      <c r="C5" s="188" t="s">
        <v>271</v>
      </c>
    </row>
    <row r="6" spans="1:5" ht="13.9" x14ac:dyDescent="0.4">
      <c r="B6" s="139" t="s">
        <v>155</v>
      </c>
      <c r="C6" s="186">
        <v>45639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272</v>
      </c>
      <c r="E8" s="262"/>
    </row>
    <row r="9" spans="1:5" ht="13.9" x14ac:dyDescent="0.4">
      <c r="B9" s="138" t="s">
        <v>202</v>
      </c>
      <c r="C9" s="189" t="s">
        <v>273</v>
      </c>
    </row>
    <row r="10" spans="1:5" ht="13.9" x14ac:dyDescent="0.4">
      <c r="B10" s="138" t="s">
        <v>203</v>
      </c>
      <c r="C10" s="190">
        <v>5091065770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93</v>
      </c>
      <c r="C16" s="218">
        <v>0.25</v>
      </c>
      <c r="D16" s="24"/>
      <c r="E16" s="109" t="s">
        <v>269</v>
      </c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274</v>
      </c>
      <c r="D18" s="24"/>
    </row>
    <row r="19" spans="2:13" ht="13.9" x14ac:dyDescent="0.4">
      <c r="B19" s="235" t="s">
        <v>224</v>
      </c>
      <c r="C19" s="237" t="s">
        <v>274</v>
      </c>
      <c r="D19" s="24"/>
    </row>
    <row r="20" spans="2:13" ht="13.9" x14ac:dyDescent="0.4">
      <c r="B20" s="236" t="s">
        <v>213</v>
      </c>
      <c r="C20" s="237" t="s">
        <v>274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239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5891068</v>
      </c>
      <c r="D25" s="147">
        <v>8214719</v>
      </c>
      <c r="E25" s="147">
        <v>7075818</v>
      </c>
      <c r="F25" s="147">
        <v>3996951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2425040</v>
      </c>
      <c r="D26" s="148">
        <v>2925125</v>
      </c>
      <c r="E26" s="148">
        <v>2681244</v>
      </c>
      <c r="F26" s="148">
        <v>2127744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415858+9934</f>
        <v>425792</v>
      </c>
      <c r="D27" s="148">
        <f>556324+118037</f>
        <v>674361</v>
      </c>
      <c r="E27" s="148">
        <v>477644</v>
      </c>
      <c r="F27" s="148">
        <v>498500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2921</v>
      </c>
      <c r="D29" s="148">
        <v>1360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346446</v>
      </c>
      <c r="D30" s="148">
        <v>457540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0.18+0.1</f>
        <v>0.28000000000000003</v>
      </c>
      <c r="D44" s="245">
        <f>0.28+0.15</f>
        <v>0.43000000000000005</v>
      </c>
      <c r="E44" s="245">
        <f>0.32+0.08</f>
        <v>0.4</v>
      </c>
      <c r="F44" s="245">
        <f>0.09+0.075</f>
        <v>0.16499999999999998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0.11382113821138212</v>
      </c>
      <c r="D45" s="150">
        <f>IF(D44="","",D44*Exchange_Rate/Dashboard!$G$3)</f>
        <v>0.17479674796747971</v>
      </c>
      <c r="E45" s="150">
        <f>IF(E44="","",E44*Exchange_Rate/Dashboard!$G$3)</f>
        <v>0.16260162601626019</v>
      </c>
      <c r="F45" s="150">
        <f>IF(F44="","",F44*Exchange_Rate/Dashboard!$G$3)</f>
        <v>6.7073170731707307E-2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5891068</v>
      </c>
      <c r="D91" s="204"/>
      <c r="E91" s="246">
        <f>C91</f>
        <v>5891068</v>
      </c>
      <c r="F91" s="246">
        <f>C91</f>
        <v>5891068</v>
      </c>
    </row>
    <row r="92" spans="2:8" ht="13.9" x14ac:dyDescent="0.4">
      <c r="B92" s="103" t="s">
        <v>102</v>
      </c>
      <c r="C92" s="77">
        <f>C26</f>
        <v>2425040</v>
      </c>
      <c r="D92" s="156">
        <f>C92/C91</f>
        <v>0.41164692038862905</v>
      </c>
      <c r="E92" s="247">
        <f>E91*D92</f>
        <v>2425040</v>
      </c>
      <c r="F92" s="247">
        <f>F91*D92</f>
        <v>2425040</v>
      </c>
    </row>
    <row r="93" spans="2:8" ht="13.9" x14ac:dyDescent="0.4">
      <c r="B93" s="103" t="s">
        <v>230</v>
      </c>
      <c r="C93" s="77">
        <f>C27+C28</f>
        <v>425792</v>
      </c>
      <c r="D93" s="156">
        <f>C93/C91</f>
        <v>7.227755646344601E-2</v>
      </c>
      <c r="E93" s="247">
        <f>E91*D93</f>
        <v>425791.99999999994</v>
      </c>
      <c r="F93" s="247">
        <f>F91*D93</f>
        <v>425791.99999999994</v>
      </c>
    </row>
    <row r="94" spans="2:8" ht="13.9" x14ac:dyDescent="0.4">
      <c r="B94" s="103" t="s">
        <v>237</v>
      </c>
      <c r="C94" s="77">
        <f>C29</f>
        <v>2921</v>
      </c>
      <c r="D94" s="156">
        <f>C94/C91</f>
        <v>4.9583539011941466E-4</v>
      </c>
      <c r="E94" s="248"/>
      <c r="F94" s="247">
        <f>F91*D94</f>
        <v>2921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461928</v>
      </c>
      <c r="D97" s="156">
        <f>C97/C91</f>
        <v>7.8411588526902082E-2</v>
      </c>
      <c r="E97" s="248"/>
      <c r="F97" s="247">
        <f>F91*D97</f>
        <v>461928</v>
      </c>
    </row>
    <row r="98" spans="2:7" ht="13.9" x14ac:dyDescent="0.4">
      <c r="B98" s="85" t="s">
        <v>193</v>
      </c>
      <c r="C98" s="232">
        <f>C44</f>
        <v>0.28000000000000003</v>
      </c>
      <c r="D98" s="261"/>
      <c r="E98" s="249">
        <f>F98</f>
        <v>0.16499999999999998</v>
      </c>
      <c r="F98" s="249">
        <f>F44</f>
        <v>0.16499999999999998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0639.HK : 首鋼資源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0639.HK</v>
      </c>
      <c r="D3" s="291"/>
      <c r="E3" s="86"/>
      <c r="F3" s="3" t="s">
        <v>1</v>
      </c>
      <c r="G3" s="130">
        <v>2.46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首鋼資源</v>
      </c>
      <c r="D4" s="293"/>
      <c r="E4" s="86"/>
      <c r="F4" s="3" t="s">
        <v>3</v>
      </c>
      <c r="G4" s="296">
        <f>Inputs!C10</f>
        <v>5091065770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45639</v>
      </c>
      <c r="D5" s="295"/>
      <c r="E5" s="34"/>
      <c r="F5" s="35" t="s">
        <v>96</v>
      </c>
      <c r="G5" s="288">
        <f>G3*G4/1000000</f>
        <v>12524.0217942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C0017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0.43766393462102288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4.9583539011941466E-4</v>
      </c>
      <c r="F24" s="138" t="s">
        <v>240</v>
      </c>
      <c r="G24" s="263">
        <f>G3/(Fin_Analysis!H86*G7)</f>
        <v>6.483955896958399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162</v>
      </c>
      <c r="G25" s="168">
        <f>Fin_Analysis!I88</f>
        <v>0.43489948089355107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179</v>
      </c>
      <c r="G26" s="175">
        <f>Fin_Analysis!H88*Exchange_Rate/G3</f>
        <v>6.7073170731707307E-2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238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1.456125437448345</v>
      </c>
      <c r="D29" s="127">
        <f>G29*(1+G20)</f>
        <v>2.6201005474309205</v>
      </c>
      <c r="E29" s="86"/>
      <c r="F29" s="129">
        <f>IF(Fin_Analysis!C108="Profit",Fin_Analysis!F100,IF(Fin_Analysis!C108="Dividend",Fin_Analysis!F103,Fin_Analysis!F106))</f>
        <v>1.7130887499392293</v>
      </c>
      <c r="G29" s="287">
        <f>IF(Fin_Analysis!C108="Profit",Fin_Analysis!I100,IF(Fin_Analysis!C108="Dividend",Fin_Analysis!I103,Fin_Analysis!I106))</f>
        <v>2.278348302113844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disagree</v>
      </c>
    </row>
    <row r="37" spans="1:3" ht="15.75" customHeight="1" x14ac:dyDescent="0.4">
      <c r="A37"/>
      <c r="B37" s="20" t="s">
        <v>224</v>
      </c>
      <c r="C37" s="240" t="str">
        <f>Inputs!C19</f>
        <v>disagree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disagree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2578308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5891068</v>
      </c>
      <c r="D6" s="197">
        <f>IF(Inputs!D25="","",Inputs!D25)</f>
        <v>8214719</v>
      </c>
      <c r="E6" s="197">
        <f>IF(Inputs!E25="","",Inputs!E25)</f>
        <v>7075818</v>
      </c>
      <c r="F6" s="197">
        <f>IF(Inputs!F25="","",Inputs!F25)</f>
        <v>3996951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-0.28286433169533853</v>
      </c>
      <c r="D7" s="91">
        <f t="shared" si="1"/>
        <v>0.16095679679720432</v>
      </c>
      <c r="E7" s="91">
        <f t="shared" si="1"/>
        <v>0.77030391415856747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2425040</v>
      </c>
      <c r="D8" s="196">
        <f>IF(Inputs!D26="","",Inputs!D26)</f>
        <v>2925125</v>
      </c>
      <c r="E8" s="196">
        <f>IF(Inputs!E26="","",Inputs!E26)</f>
        <v>2681244</v>
      </c>
      <c r="F8" s="196">
        <f>IF(Inputs!F26="","",Inputs!F26)</f>
        <v>2127744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3466028</v>
      </c>
      <c r="D9" s="149">
        <f t="shared" si="2"/>
        <v>5289594</v>
      </c>
      <c r="E9" s="149">
        <f t="shared" si="2"/>
        <v>4394574</v>
      </c>
      <c r="F9" s="149">
        <f t="shared" si="2"/>
        <v>1869207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425792</v>
      </c>
      <c r="D10" s="196">
        <f>IF(Inputs!D27="","",Inputs!D27)</f>
        <v>674361</v>
      </c>
      <c r="E10" s="196">
        <f>IF(Inputs!E27="","",Inputs!E27)</f>
        <v>477644</v>
      </c>
      <c r="F10" s="196">
        <f>IF(Inputs!F27="","",Inputs!F27)</f>
        <v>498500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461928</v>
      </c>
      <c r="D12" s="196">
        <f>IF(Inputs!D30="","",MAX(Inputs!D30,0)/(1-Fin_Analysis!$I$84))</f>
        <v>610053.33333333337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0.43766393462102288</v>
      </c>
      <c r="D13" s="224">
        <f t="shared" si="3"/>
        <v>0.48756137205261268</v>
      </c>
      <c r="E13" s="224">
        <f t="shared" si="3"/>
        <v>0.55356567961471026</v>
      </c>
      <c r="F13" s="224">
        <f t="shared" si="3"/>
        <v>0.3429381546083502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2578308</v>
      </c>
      <c r="D14" s="225">
        <f t="shared" ref="D14:M14" si="4">IF(D6="","",D9-D10-MAX(D11,0)-MAX(D12,0))</f>
        <v>4005179.6666666665</v>
      </c>
      <c r="E14" s="225">
        <f t="shared" si="4"/>
        <v>3916930</v>
      </c>
      <c r="F14" s="225">
        <f t="shared" si="4"/>
        <v>1370707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-0.35625659406540144</v>
      </c>
      <c r="D15" s="227">
        <f t="shared" ref="D15:M15" si="5">IF(E14="","",IF(ABS(D14+E14)=ABS(D14)+ABS(E14),IF(D14&lt;0,-1,1)*(D14-E14)/E14,"Turn"))</f>
        <v>2.2530314983077695E-2</v>
      </c>
      <c r="E15" s="227">
        <f t="shared" si="5"/>
        <v>1.8575983051082399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2921</v>
      </c>
      <c r="D17" s="196">
        <f>IF(Inputs!D29="","",Inputs!D29)</f>
        <v>1360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2575387</v>
      </c>
      <c r="D22" s="158">
        <f t="shared" ref="D22:M22" si="8">IF(D6="","",D14-MAX(D16,0)-MAX(D17,0)-ABS(MAX(D21,0)-MAX(D19,0)))</f>
        <v>4003819.6666666665</v>
      </c>
      <c r="E22" s="158">
        <f t="shared" si="8"/>
        <v>3916930</v>
      </c>
      <c r="F22" s="158">
        <f t="shared" si="8"/>
        <v>1370707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0.32787607442317762</v>
      </c>
      <c r="D23" s="151">
        <f t="shared" si="9"/>
        <v>0.36554686167597455</v>
      </c>
      <c r="E23" s="151">
        <f t="shared" si="9"/>
        <v>0.41517425971103272</v>
      </c>
      <c r="F23" s="151">
        <f t="shared" si="9"/>
        <v>0.25720361595626268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1931540.25</v>
      </c>
      <c r="D24" s="77">
        <f>IF(D6="","",D22*(1-Fin_Analysis!$I$84))</f>
        <v>3002864.75</v>
      </c>
      <c r="E24" s="77">
        <f>IF(E6="","",E22*(1-Fin_Analysis!$I$84))</f>
        <v>2937697.5</v>
      </c>
      <c r="F24" s="77">
        <f>IF(F6="","",F22*(1-Fin_Analysis!$I$84))</f>
        <v>1028030.25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-0.35676748345059495</v>
      </c>
      <c r="D25" s="228">
        <f t="shared" ref="D25:M25" si="10">IF(E24="","",IF(ABS(D24+E24)=ABS(D24)+ABS(E24),IF(D24&lt;0,-1,1)*(D24-E24)/E24,"Turn"))</f>
        <v>2.2183104284903398E-2</v>
      </c>
      <c r="E25" s="228">
        <f t="shared" si="10"/>
        <v>1.8575983051082399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0.41164692038862905</v>
      </c>
      <c r="D40" s="154">
        <f t="shared" si="34"/>
        <v>0.35608339128824734</v>
      </c>
      <c r="E40" s="154">
        <f t="shared" si="34"/>
        <v>0.37893060562043851</v>
      </c>
      <c r="F40" s="154">
        <f t="shared" si="34"/>
        <v>0.53234177751991452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7.227755646344601E-2</v>
      </c>
      <c r="D41" s="151">
        <f t="shared" si="35"/>
        <v>8.2091791575585243E-2</v>
      </c>
      <c r="E41" s="151">
        <f t="shared" si="35"/>
        <v>6.7503714764851216E-2</v>
      </c>
      <c r="F41" s="151">
        <f t="shared" si="35"/>
        <v>0.12472006787173523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4.9583539011941466E-4</v>
      </c>
      <c r="D43" s="151">
        <f t="shared" si="37"/>
        <v>1.6555648464664465E-4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7.8411588526902082E-2</v>
      </c>
      <c r="D44" s="151">
        <f t="shared" si="38"/>
        <v>7.4263445083554702E-2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0.43716809923090344</v>
      </c>
      <c r="D46" s="151">
        <f t="shared" si="40"/>
        <v>0.48739581556796607</v>
      </c>
      <c r="E46" s="151">
        <f t="shared" si="40"/>
        <v>0.55356567961471026</v>
      </c>
      <c r="F46" s="151">
        <f t="shared" si="40"/>
        <v>0.3429381546083502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1.1341984719189775E-3</v>
      </c>
      <c r="D55" s="151">
        <f t="shared" si="47"/>
        <v>3.3967563807194446E-4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5891068</v>
      </c>
      <c r="D74" s="204"/>
      <c r="E74" s="233">
        <f>Inputs!E91</f>
        <v>5891068</v>
      </c>
      <c r="F74" s="204"/>
      <c r="H74" s="233">
        <f>Inputs!F91</f>
        <v>5891068</v>
      </c>
      <c r="I74" s="204"/>
      <c r="K74" s="24"/>
    </row>
    <row r="75" spans="1:11" ht="15" customHeight="1" x14ac:dyDescent="0.4">
      <c r="B75" s="103" t="s">
        <v>102</v>
      </c>
      <c r="C75" s="77">
        <f>Data!C8</f>
        <v>2425040</v>
      </c>
      <c r="D75" s="156">
        <f>C75/$C$74</f>
        <v>0.41164692038862905</v>
      </c>
      <c r="E75" s="233">
        <f>Inputs!E92</f>
        <v>2425040</v>
      </c>
      <c r="F75" s="157">
        <f>E75/E74</f>
        <v>0.41164692038862905</v>
      </c>
      <c r="H75" s="233">
        <f>Inputs!F92</f>
        <v>2425040</v>
      </c>
      <c r="I75" s="157">
        <f>H75/$H$74</f>
        <v>0.41164692038862905</v>
      </c>
      <c r="K75" s="24"/>
    </row>
    <row r="76" spans="1:11" ht="15" customHeight="1" x14ac:dyDescent="0.4">
      <c r="B76" s="35" t="s">
        <v>92</v>
      </c>
      <c r="C76" s="158">
        <f>C74-C75</f>
        <v>3466028</v>
      </c>
      <c r="D76" s="205"/>
      <c r="E76" s="159">
        <f>E74-E75</f>
        <v>3466028</v>
      </c>
      <c r="F76" s="205"/>
      <c r="H76" s="159">
        <f>H74-H75</f>
        <v>3466028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425792</v>
      </c>
      <c r="D77" s="156">
        <f>C77/$C$74</f>
        <v>7.227755646344601E-2</v>
      </c>
      <c r="E77" s="233">
        <f>Inputs!E93</f>
        <v>425791.99999999994</v>
      </c>
      <c r="F77" s="157">
        <f>E77/E74</f>
        <v>7.227755646344601E-2</v>
      </c>
      <c r="H77" s="233">
        <f>Inputs!F93</f>
        <v>425791.99999999994</v>
      </c>
      <c r="I77" s="157">
        <f>H77/$H$74</f>
        <v>7.227755646344601E-2</v>
      </c>
      <c r="K77" s="24"/>
    </row>
    <row r="78" spans="1:11" ht="15" customHeight="1" x14ac:dyDescent="0.4">
      <c r="B78" s="73" t="s">
        <v>161</v>
      </c>
      <c r="C78" s="77">
        <f>MAX(Data!C12,0)</f>
        <v>461928</v>
      </c>
      <c r="D78" s="156">
        <f>C78/$C$74</f>
        <v>7.8411588526902082E-2</v>
      </c>
      <c r="E78" s="177">
        <f>E74*F78</f>
        <v>461928</v>
      </c>
      <c r="F78" s="157">
        <f>I78</f>
        <v>7.8411588526902082E-2</v>
      </c>
      <c r="H78" s="233">
        <f>Inputs!F97</f>
        <v>461928</v>
      </c>
      <c r="I78" s="157">
        <f>H78/$H$74</f>
        <v>7.8411588526902082E-2</v>
      </c>
      <c r="K78" s="24"/>
    </row>
    <row r="79" spans="1:11" ht="15" customHeight="1" x14ac:dyDescent="0.4">
      <c r="B79" s="251" t="s">
        <v>217</v>
      </c>
      <c r="C79" s="252">
        <f>C76-C77-C78</f>
        <v>2578308</v>
      </c>
      <c r="D79" s="253">
        <f>C79/C74</f>
        <v>0.43766393462102288</v>
      </c>
      <c r="E79" s="254">
        <f>E76-E77-E78</f>
        <v>2578308</v>
      </c>
      <c r="F79" s="253">
        <f>E79/E74</f>
        <v>0.43766393462102288</v>
      </c>
      <c r="G79" s="255"/>
      <c r="H79" s="254">
        <f>H76-H77-H78</f>
        <v>2578308</v>
      </c>
      <c r="I79" s="253">
        <f>H79/H74</f>
        <v>0.43766393462102288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237</v>
      </c>
      <c r="C81" s="77">
        <f>MAX(Data!C17,0)</f>
        <v>2921</v>
      </c>
      <c r="D81" s="156">
        <f>C81/$C$74</f>
        <v>4.9583539011941466E-4</v>
      </c>
      <c r="E81" s="177">
        <f>E74*F81</f>
        <v>2921</v>
      </c>
      <c r="F81" s="157">
        <f>I81</f>
        <v>4.9583539011941466E-4</v>
      </c>
      <c r="H81" s="233">
        <f>Inputs!F94</f>
        <v>2921</v>
      </c>
      <c r="I81" s="157">
        <f>H81/$H$74</f>
        <v>4.9583539011941466E-4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2575387</v>
      </c>
      <c r="D83" s="161">
        <f>C83/$C$74</f>
        <v>0.43716809923090344</v>
      </c>
      <c r="E83" s="162">
        <f>E79-E81-E82-E80</f>
        <v>2575387</v>
      </c>
      <c r="F83" s="161">
        <f>E83/E74</f>
        <v>0.43716809923090344</v>
      </c>
      <c r="H83" s="162">
        <f>H79-H81-H82-H80</f>
        <v>2575387</v>
      </c>
      <c r="I83" s="161">
        <f>H83/$H$74</f>
        <v>0.43716809923090344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1931540.25</v>
      </c>
      <c r="D85" s="253">
        <f>C85/$C$74</f>
        <v>0.32787607442317762</v>
      </c>
      <c r="E85" s="259">
        <f>E83*(1-F84)</f>
        <v>1931540.25</v>
      </c>
      <c r="F85" s="253">
        <f>E85/E74</f>
        <v>0.32787607442317762</v>
      </c>
      <c r="G85" s="255"/>
      <c r="H85" s="259">
        <f>H83*(1-I84)</f>
        <v>1931540.25</v>
      </c>
      <c r="I85" s="253">
        <f>H85/$H$74</f>
        <v>0.32787607442317762</v>
      </c>
      <c r="K85" s="24"/>
    </row>
    <row r="86" spans="1:11" ht="15" customHeight="1" x14ac:dyDescent="0.4">
      <c r="B86" s="86" t="s">
        <v>152</v>
      </c>
      <c r="C86" s="164">
        <f>C85*Data!C4/Common_Shares</f>
        <v>0.37939801551611069</v>
      </c>
      <c r="D86" s="204"/>
      <c r="E86" s="165">
        <f>E85*Data!C4/Common_Shares</f>
        <v>0.37939801551611069</v>
      </c>
      <c r="F86" s="204"/>
      <c r="H86" s="165">
        <f>H85*Data!C4/Common_Shares</f>
        <v>0.37939801551611069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0.15422683557565475</v>
      </c>
      <c r="D87" s="204"/>
      <c r="E87" s="257">
        <f>E86*Exchange_Rate/Dashboard!G3</f>
        <v>0.15422683557565475</v>
      </c>
      <c r="F87" s="204"/>
      <c r="H87" s="257">
        <f>H86*Exchange_Rate/Dashboard!G3</f>
        <v>0.15422683557565475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0.28000000000000003</v>
      </c>
      <c r="D88" s="163">
        <f>C88/C86</f>
        <v>0.73801124030420806</v>
      </c>
      <c r="E88" s="167">
        <f>Inputs!E98</f>
        <v>0.16499999999999998</v>
      </c>
      <c r="F88" s="163">
        <f>E88/E86</f>
        <v>0.43489948089355107</v>
      </c>
      <c r="H88" s="167">
        <f>Inputs!F98</f>
        <v>0.16499999999999998</v>
      </c>
      <c r="I88" s="163">
        <f>H88/H86</f>
        <v>0.43489948089355107</v>
      </c>
      <c r="K88" s="24"/>
    </row>
    <row r="89" spans="1:11" ht="15" customHeight="1" x14ac:dyDescent="0.4">
      <c r="B89" s="86" t="s">
        <v>206</v>
      </c>
      <c r="C89" s="256">
        <f>C88*Exchange_Rate/Dashboard!G3</f>
        <v>0.11382113821138212</v>
      </c>
      <c r="D89" s="204"/>
      <c r="E89" s="256">
        <f>E88*Exchange_Rate/Dashboard!G3</f>
        <v>6.7073170731707307E-2</v>
      </c>
      <c r="F89" s="204"/>
      <c r="H89" s="256">
        <f>H88*Exchange_Rate/Dashboard!G3</f>
        <v>6.7073170731707307E-2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11.731809683714088</v>
      </c>
      <c r="H93" s="86" t="s">
        <v>195</v>
      </c>
      <c r="I93" s="142">
        <f>FV(H87,D93,0,-(H86/(C93-D94)))*Exchange_Rate</f>
        <v>11.731809683714088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3.4456333700156581</v>
      </c>
      <c r="H94" s="86" t="s">
        <v>196</v>
      </c>
      <c r="I94" s="142">
        <f>FV(H89,D93,0,-(H88/(C93-D94)))*Exchange_Rate</f>
        <v>3.4456333700156581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29695081.048806176</v>
      </c>
      <c r="D97" s="208"/>
      <c r="E97" s="121">
        <f>PV(C94,D93,0,-F93)</f>
        <v>5.832782837689833</v>
      </c>
      <c r="F97" s="208"/>
      <c r="H97" s="121">
        <f>PV(C94,D93,0,-I93)</f>
        <v>5.832782837689833</v>
      </c>
      <c r="I97" s="121">
        <f>PV(C93,D93,0,-I93)</f>
        <v>7.7573977853282985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29695081.048806176</v>
      </c>
      <c r="D100" s="108">
        <f>MIN(F100*(1-C94),E100)</f>
        <v>4.9578654120363579</v>
      </c>
      <c r="E100" s="108">
        <f>MAX(E97+H98+E99,0)</f>
        <v>5.832782837689833</v>
      </c>
      <c r="F100" s="108">
        <f>(E100+H100)/2</f>
        <v>5.832782837689833</v>
      </c>
      <c r="H100" s="108">
        <f>MAX(C100*Data!$C$4/Common_Shares,0)</f>
        <v>5.832782837689833</v>
      </c>
      <c r="I100" s="108">
        <f>MAX(I97+H98+H99,0)</f>
        <v>7.7573977853282985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8721447.4957877006</v>
      </c>
      <c r="D103" s="108">
        <f>MIN(F103*(1-C94),E103)</f>
        <v>1.456125437448345</v>
      </c>
      <c r="E103" s="121">
        <f>PV(C94,D93,0,-F94)</f>
        <v>1.7130887499392293</v>
      </c>
      <c r="F103" s="108">
        <f>(E103+H103)/2</f>
        <v>1.7130887499392293</v>
      </c>
      <c r="H103" s="121">
        <f>PV(C94,D93,0,-I94)</f>
        <v>1.7130887499392293</v>
      </c>
      <c r="I103" s="108">
        <f>PV(C93,D93,0,-I94)</f>
        <v>2.278348302113844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19208264.272296935</v>
      </c>
      <c r="D106" s="108">
        <f>(D100+D103)/2</f>
        <v>3.2069954247423516</v>
      </c>
      <c r="E106" s="121">
        <f>(E100+E103)/2</f>
        <v>3.7729357938145309</v>
      </c>
      <c r="F106" s="108">
        <f>(F100+F103)/2</f>
        <v>3.7729357938145309</v>
      </c>
      <c r="H106" s="121">
        <f>(H100+H103)/2</f>
        <v>3.7729357938145309</v>
      </c>
      <c r="I106" s="121">
        <f>(I100+I103)/2</f>
        <v>5.017873043721071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