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5E1DD37-330C-4FC0-9884-29F92C67883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4" i="4"/>
  <c r="F93" i="4"/>
  <c r="F91" i="4"/>
  <c r="F92" i="4" s="1"/>
  <c r="E91" i="4"/>
  <c r="E93" i="4" s="1"/>
  <c r="D71" i="4"/>
  <c r="D69" i="4"/>
  <c r="D68" i="4"/>
  <c r="D67" i="4"/>
  <c r="D62" i="4"/>
  <c r="D63" i="4" s="1"/>
  <c r="D61" i="4"/>
  <c r="D60" i="4"/>
  <c r="D59" i="4"/>
  <c r="D58" i="4"/>
  <c r="D55" i="4"/>
  <c r="D53" i="4"/>
  <c r="D50" i="4"/>
  <c r="D56" i="4" s="1"/>
  <c r="D44" i="4"/>
  <c r="C44" i="4"/>
  <c r="F37" i="4"/>
  <c r="E37" i="4"/>
  <c r="E30" i="2" s="1"/>
  <c r="D37" i="4"/>
  <c r="C37" i="4"/>
  <c r="C49" i="3" s="1"/>
  <c r="D33" i="4"/>
  <c r="D32" i="4"/>
  <c r="C32" i="4"/>
  <c r="D31" i="4"/>
  <c r="C31" i="4"/>
  <c r="D27" i="4"/>
  <c r="C27" i="4"/>
  <c r="B47" i="4"/>
  <c r="E56" i="2"/>
  <c r="F56" i="2"/>
  <c r="I56" i="2"/>
  <c r="J56" i="2"/>
  <c r="M56" i="2"/>
  <c r="D4" i="3"/>
  <c r="D3" i="3"/>
  <c r="I3" i="3" s="1"/>
  <c r="I49" i="3"/>
  <c r="C34" i="2"/>
  <c r="C56" i="2" s="1"/>
  <c r="C30" i="2"/>
  <c r="E34" i="2"/>
  <c r="F34" i="2"/>
  <c r="G34" i="2"/>
  <c r="G27" i="2" s="1"/>
  <c r="H34" i="2"/>
  <c r="H27" i="2" s="1"/>
  <c r="I34" i="2"/>
  <c r="I27" i="2" s="1"/>
  <c r="J34" i="2"/>
  <c r="J27" i="2" s="1"/>
  <c r="K34" i="2"/>
  <c r="K27" i="2" s="1"/>
  <c r="L34" i="2"/>
  <c r="L27" i="2" s="1"/>
  <c r="M34" i="2"/>
  <c r="M27" i="2" s="1"/>
  <c r="D34" i="2"/>
  <c r="D56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E95" i="4" l="1"/>
  <c r="F95" i="4"/>
  <c r="F96" i="4"/>
  <c r="E92" i="4"/>
  <c r="F97" i="4"/>
  <c r="E27" i="2"/>
  <c r="L56" i="2"/>
  <c r="D27" i="2"/>
  <c r="K56" i="2"/>
  <c r="H56" i="2"/>
  <c r="G56" i="2"/>
  <c r="F27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D52" i="3"/>
  <c r="C98" i="3"/>
  <c r="D6" i="3"/>
  <c r="D53" i="3"/>
  <c r="C57" i="2" l="1"/>
  <c r="D7" i="3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 s="1"/>
</calcChain>
</file>

<file path=xl/sharedStrings.xml><?xml version="1.0" encoding="utf-8"?>
<sst xmlns="http://schemas.openxmlformats.org/spreadsheetml/2006/main" count="392" uniqueCount="275">
  <si>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</si>
  <si>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</si>
  <si>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</si>
  <si>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</si>
  <si>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</si>
  <si>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</si>
  <si>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</si>
  <si>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</si>
  <si>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</si>
  <si>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</si>
  <si>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</si>
  <si>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</si>
  <si>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</si>
  <si>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</si>
  <si>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</si>
  <si>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</si>
  <si>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</si>
  <si>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</si>
  <si>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</si>
  <si>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</si>
  <si>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</si>
  <si>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</si>
  <si>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</si>
  <si>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</si>
  <si>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</si>
  <si>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</si>
  <si>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</si>
  <si>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</si>
  <si>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</si>
  <si>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</si>
  <si>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</si>
  <si>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</si>
  <si>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</si>
  <si>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</si>
  <si>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</si>
  <si>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</si>
  <si>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</si>
  <si>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</si>
  <si>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</si>
  <si>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</si>
  <si>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</si>
  <si>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</si>
  <si>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</si>
  <si>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</si>
  <si>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</si>
  <si>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</si>
  <si>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</si>
  <si>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</si>
  <si>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</si>
  <si>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</si>
  <si>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</si>
  <si>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</si>
  <si>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</si>
  <si>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</si>
  <si>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</si>
  <si>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</si>
  <si>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</si>
  <si>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</si>
  <si>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</si>
  <si>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</si>
  <si>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</si>
  <si>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</si>
  <si>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</si>
  <si>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</si>
  <si>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</si>
  <si>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</si>
  <si>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</si>
  <si>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</si>
  <si>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</si>
  <si>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</si>
  <si>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</si>
  <si>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</si>
  <si>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</si>
  <si>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</si>
  <si>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</si>
  <si>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</si>
  <si>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</si>
  <si>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</si>
  <si>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</si>
  <si>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</si>
  <si>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</si>
  <si>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</si>
  <si>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</si>
  <si>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</si>
  <si>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</si>
  <si>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</si>
  <si>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</si>
  <si>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</si>
  <si>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</si>
  <si>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</si>
  <si>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</si>
  <si>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</si>
  <si>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</si>
  <si>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</si>
  <si>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</si>
  <si>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</si>
  <si>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</si>
  <si>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</si>
  <si>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</si>
  <si>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</si>
  <si>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</si>
  <si>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</si>
  <si>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</si>
  <si>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</si>
  <si>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</si>
  <si>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</si>
  <si>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</si>
  <si>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</si>
  <si>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</si>
  <si>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</si>
  <si>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</si>
  <si>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</si>
  <si>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</si>
  <si>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</si>
  <si>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</si>
  <si>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</si>
  <si>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</si>
  <si>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</si>
  <si>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</si>
  <si>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</si>
  <si>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</si>
  <si>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</si>
  <si>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</si>
  <si>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</si>
  <si>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</si>
  <si>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</si>
  <si>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</si>
  <si>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</si>
  <si>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</si>
  <si>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</si>
  <si>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</si>
  <si>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</si>
  <si>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</si>
  <si>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</si>
  <si>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</si>
  <si>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</si>
  <si>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</si>
  <si>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</si>
  <si>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</si>
  <si>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</si>
  <si>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</si>
  <si>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</si>
  <si>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</si>
  <si>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</si>
  <si>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</si>
  <si>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</si>
  <si>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</si>
  <si>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</si>
  <si>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</si>
  <si>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</si>
  <si>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</si>
  <si>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</si>
  <si>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</si>
  <si>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</si>
  <si>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</si>
  <si>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</si>
  <si>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</si>
  <si>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</si>
  <si>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</si>
  <si>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</si>
  <si>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</si>
  <si>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</si>
  <si>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</si>
  <si>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</si>
  <si>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</si>
  <si>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</si>
  <si>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</si>
  <si>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</si>
  <si>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</si>
  <si>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</si>
  <si>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</si>
  <si>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</si>
  <si>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</si>
  <si>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</si>
  <si>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</si>
  <si>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</si>
  <si>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</si>
  <si>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</si>
  <si>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</si>
  <si>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</si>
  <si>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</si>
  <si>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</si>
  <si>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</si>
  <si>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</si>
  <si>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</si>
  <si>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</si>
  <si>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</si>
  <si>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</si>
  <si>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</si>
  <si>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</si>
  <si>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</si>
  <si>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</si>
  <si>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</si>
  <si>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</si>
  <si>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</si>
  <si>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</si>
  <si>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</si>
  <si>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</si>
  <si>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</si>
  <si>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</si>
  <si>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</si>
  <si>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</si>
  <si>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</si>
  <si>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</si>
  <si>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</si>
  <si>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</si>
  <si>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</si>
  <si>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</si>
  <si>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</si>
  <si>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</si>
  <si>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</si>
  <si>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</si>
  <si>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</si>
  <si>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</si>
  <si>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</si>
  <si>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</si>
  <si>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</si>
  <si>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</si>
  <si>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</si>
  <si>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</si>
  <si>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</si>
  <si>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</si>
  <si>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</si>
  <si>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</si>
  <si>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</si>
  <si>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</si>
  <si>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</si>
  <si>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</si>
  <si>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</si>
  <si>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</si>
  <si>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</si>
  <si>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</si>
  <si>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</si>
  <si>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</si>
  <si>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</si>
  <si>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</si>
  <si>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</si>
  <si>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</si>
  <si>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</si>
  <si>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</si>
  <si>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</si>
  <si>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</si>
  <si>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</si>
  <si>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</si>
  <si>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</si>
  <si>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</si>
  <si>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</si>
  <si>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</si>
  <si>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</si>
  <si>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</si>
  <si>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</si>
  <si>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</si>
  <si>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</si>
  <si>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</si>
  <si>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</si>
  <si>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</si>
  <si>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</si>
  <si>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</si>
  <si>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</si>
  <si>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</si>
  <si>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</si>
  <si>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</si>
  <si>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</si>
  <si>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</si>
  <si>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</si>
  <si>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</si>
  <si>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</si>
  <si>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</si>
  <si>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0669.HK</t>
  </si>
  <si>
    <t>創科實業</t>
  </si>
  <si>
    <t xml:space="preserve">Superior Cycl. </t>
  </si>
  <si>
    <t>C0006</t>
  </si>
  <si>
    <t>USD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</si>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</sst>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268</v>
      </c>
    </row>
    <row r="5" spans="1:5" ht="13.9" x14ac:dyDescent="0.4">
      <c r="B5" s="139" t="s">
        <v>180</v>
      </c>
      <c r="C5" s="188" t="s">
        <v>269</v>
      </c>
    </row>
    <row r="6" spans="1:5" ht="13.9" x14ac:dyDescent="0.4">
      <c r="B6" s="139" t="s">
        <v>154</v>
      </c>
      <c r="C6" s="186">
        <v>45625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270</v>
      </c>
      <c r="E8" s="262"/>
    </row>
    <row r="9" spans="1:5" ht="13.9" x14ac:dyDescent="0.4">
      <c r="B9" s="138" t="s">
        <v>201</v>
      </c>
      <c r="C9" s="189" t="s">
        <v>271</v>
      </c>
    </row>
    <row r="10" spans="1:5" ht="13.9" x14ac:dyDescent="0.4">
      <c r="B10" s="138" t="s">
        <v>202</v>
      </c>
      <c r="C10" s="190">
        <v>587107850</v>
      </c>
    </row>
    <row r="11" spans="1:5" ht="13.9" x14ac:dyDescent="0.4">
      <c r="B11" s="138" t="s">
        <v>203</v>
      </c>
      <c r="C11" s="189" t="s">
        <v>272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235</v>
      </c>
      <c r="C15" s="173" t="s">
        <v>175</v>
      </c>
    </row>
    <row r="16" spans="1:5" ht="13.9" x14ac:dyDescent="0.4">
      <c r="B16" s="217" t="s">
        <v>92</v>
      </c>
      <c r="C16" s="218">
        <v>0.25</v>
      </c>
      <c r="D16" s="24"/>
      <c r="E16" s="109" t="s">
        <v>267</v>
      </c>
    </row>
    <row r="17" spans="2:13" ht="13.9" x14ac:dyDescent="0.4">
      <c r="B17" s="235" t="s">
        <v>208</v>
      </c>
      <c r="C17" s="237" t="s">
        <v>227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227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227</v>
      </c>
      <c r="D21" s="24"/>
    </row>
    <row r="22" spans="2:13" ht="78.75" x14ac:dyDescent="0.4">
      <c r="B22" s="221" t="s">
        <v>214</v>
      </c>
      <c r="C22" s="238" t="s">
        <v>238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13731411</v>
      </c>
      <c r="D25" s="147">
        <v>13253917</v>
      </c>
      <c r="E25" s="147">
        <v>13203161</v>
      </c>
      <c r="F25" s="147">
        <v>9811941</v>
      </c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8311775</v>
      </c>
      <c r="D26" s="148">
        <v>8041340</v>
      </c>
      <c r="E26" s="148">
        <v>8081548</v>
      </c>
      <c r="F26" s="148">
        <v>6058859</v>
      </c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f>2347219+1406210</f>
        <v>3753429</v>
      </c>
      <c r="D27" s="148">
        <f>2191001+1349840</f>
        <v>3540841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>
        <v>548338</v>
      </c>
      <c r="D28" s="148">
        <v>484343</v>
      </c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236</v>
      </c>
      <c r="C29" s="148">
        <v>124056</v>
      </c>
      <c r="D29" s="148">
        <v>69868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0</v>
      </c>
      <c r="D30" s="148">
        <v>0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>
        <f>1862982-2265630</f>
        <v>-402648</v>
      </c>
      <c r="D31" s="148">
        <f>1816473-1375529</f>
        <v>440944</v>
      </c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>
        <f>198268+269041+166178</f>
        <v>633487</v>
      </c>
      <c r="D32" s="148">
        <f>132434+240428+139998</f>
        <v>512860</v>
      </c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>
        <v>502000</v>
      </c>
      <c r="D33" s="148">
        <f>C33*1.137</f>
        <v>570774</v>
      </c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259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258</v>
      </c>
      <c r="C37" s="148">
        <f>5143611+1725201</f>
        <v>6868812</v>
      </c>
      <c r="D37" s="148">
        <f>7093283+1887802</f>
        <v>8981085</v>
      </c>
      <c r="E37" s="148">
        <f>6328575+1606057</f>
        <v>7934632</v>
      </c>
      <c r="F37" s="148">
        <f>5308967+1406060</f>
        <v>6715027</v>
      </c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264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>
        <v>6252844</v>
      </c>
      <c r="D41" s="148">
        <v>5205481</v>
      </c>
      <c r="E41" s="148">
        <v>4722518</v>
      </c>
      <c r="F41" s="148">
        <v>3902907</v>
      </c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>
        <v>0</v>
      </c>
      <c r="D42" s="148">
        <v>0</v>
      </c>
      <c r="E42" s="148">
        <v>0</v>
      </c>
      <c r="F42" s="148">
        <v>-98</v>
      </c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0.1261+0.1223</f>
        <v>0.24840000000000001</v>
      </c>
      <c r="D44" s="245">
        <f>0.1158+0.1223</f>
        <v>0.23810000000000001</v>
      </c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232</v>
      </c>
      <c r="C45" s="150">
        <f>IF(C44="","",C44*Exchange_Rate/Dashboard!$G$3)</f>
        <v>1.8831708548941263E-2</v>
      </c>
      <c r="D45" s="150">
        <f>IF(D44="","",D44*Exchange_Rate/Dashboard!$G$3)</f>
        <v>1.805084462762848E-2</v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Sheet- Error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241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240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262</v>
      </c>
      <c r="C82" s="212"/>
    </row>
    <row r="83" spans="2:8" ht="14.25" hidden="1" thickTop="1" x14ac:dyDescent="0.4">
      <c r="B83" s="73" t="s">
        <v>263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273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13731411</v>
      </c>
      <c r="D91" s="204"/>
      <c r="E91" s="246">
        <f>C91</f>
        <v>13731411</v>
      </c>
      <c r="F91" s="246">
        <f>C91</f>
        <v>13731411</v>
      </c>
    </row>
    <row r="92" spans="2:8" ht="13.9" x14ac:dyDescent="0.4">
      <c r="B92" s="103" t="s">
        <v>101</v>
      </c>
      <c r="C92" s="77">
        <f>C26</f>
        <v>8311775</v>
      </c>
      <c r="D92" s="156">
        <f>C92/C91</f>
        <v>0.60531106380837341</v>
      </c>
      <c r="E92" s="247">
        <f>E91*D92</f>
        <v>8311775.0000000009</v>
      </c>
      <c r="F92" s="247">
        <f>F91*D92</f>
        <v>8311775.0000000009</v>
      </c>
    </row>
    <row r="93" spans="2:8" ht="13.9" x14ac:dyDescent="0.4">
      <c r="B93" s="103" t="s">
        <v>229</v>
      </c>
      <c r="C93" s="77">
        <f>C27+C28</f>
        <v>4301767</v>
      </c>
      <c r="D93" s="156">
        <f>C93/C91</f>
        <v>0.31327931266495485</v>
      </c>
      <c r="E93" s="247">
        <f>E91*D93</f>
        <v>4301767</v>
      </c>
      <c r="F93" s="247">
        <f>F91*D93</f>
        <v>4301767</v>
      </c>
    </row>
    <row r="94" spans="2:8" ht="13.9" x14ac:dyDescent="0.4">
      <c r="B94" s="103" t="s">
        <v>236</v>
      </c>
      <c r="C94" s="77">
        <f>C29</f>
        <v>124056</v>
      </c>
      <c r="D94" s="156">
        <f>C94/C91</f>
        <v>9.0344684898005026E-3</v>
      </c>
      <c r="E94" s="248"/>
      <c r="F94" s="247">
        <f>F91*D94</f>
        <v>124056.00000000001</v>
      </c>
    </row>
    <row r="95" spans="2:8" ht="13.9" x14ac:dyDescent="0.4">
      <c r="B95" s="28" t="s">
        <v>228</v>
      </c>
      <c r="C95" s="77">
        <f>ABS(MAX(C33,0)-C32)</f>
        <v>131487</v>
      </c>
      <c r="D95" s="156">
        <f>C95/C91</f>
        <v>9.5756364731927404E-3</v>
      </c>
      <c r="E95" s="247">
        <f>E91*D95</f>
        <v>131487</v>
      </c>
      <c r="F95" s="247">
        <f>F91*D95</f>
        <v>131487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3.9" x14ac:dyDescent="0.4">
      <c r="B98" s="85" t="s">
        <v>192</v>
      </c>
      <c r="C98" s="232">
        <f>C44</f>
        <v>0.24840000000000001</v>
      </c>
      <c r="D98" s="261"/>
      <c r="E98" s="249">
        <f>F98</f>
        <v>0.24840000000000001</v>
      </c>
      <c r="F98" s="249">
        <f>C98</f>
        <v>0.24840000000000001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0669.HK : 創科實業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0669.HK</v>
      </c>
      <c r="D3" s="291"/>
      <c r="E3" s="86"/>
      <c r="F3" s="3" t="s">
        <v>1</v>
      </c>
      <c r="G3" s="130">
        <v>102.5</v>
      </c>
      <c r="H3" s="132" t="s">
        <v>274</v>
      </c>
    </row>
    <row r="4" spans="1:10" ht="15.75" customHeight="1" x14ac:dyDescent="0.4">
      <c r="B4" s="35" t="s">
        <v>180</v>
      </c>
      <c r="C4" s="292" t="str">
        <f>Inputs!C5</f>
        <v>創科實業</v>
      </c>
      <c r="D4" s="293"/>
      <c r="E4" s="86"/>
      <c r="F4" s="3" t="s">
        <v>2</v>
      </c>
      <c r="G4" s="296">
        <f>Inputs!C10</f>
        <v>587107850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45625</v>
      </c>
      <c r="D5" s="295"/>
      <c r="E5" s="34"/>
      <c r="F5" s="35" t="s">
        <v>95</v>
      </c>
      <c r="G5" s="288">
        <f>G3*G4/1000000</f>
        <v>60178.554624999997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USD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 xml:space="preserve">Superior Cycl. </v>
      </c>
      <c r="D7" s="184" t="str">
        <f>Inputs!C9</f>
        <v>C0006</v>
      </c>
      <c r="E7" s="86"/>
      <c r="F7" s="35" t="s">
        <v>5</v>
      </c>
      <c r="G7" s="131">
        <v>7.7707331975301104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233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HK</v>
      </c>
      <c r="F16" s="109" t="s">
        <v>165</v>
      </c>
    </row>
    <row r="17" spans="1:8" ht="15.75" customHeight="1" thickTop="1" x14ac:dyDescent="0.4">
      <c r="B17" s="86" t="s">
        <v>234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257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248</v>
      </c>
      <c r="C20" s="271">
        <f>C21*C22*C23</f>
        <v>0.17877768900039728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253</v>
      </c>
      <c r="C21" s="283">
        <f>Data!C13</f>
        <v>8.1409623526671804E-2</v>
      </c>
      <c r="F21" s="86"/>
      <c r="G21" s="29"/>
    </row>
    <row r="22" spans="1:8" ht="15.75" customHeight="1" x14ac:dyDescent="0.4">
      <c r="B22" s="273" t="s">
        <v>260</v>
      </c>
      <c r="C22" s="274">
        <f>Data!C48</f>
        <v>1.0464693633181665</v>
      </c>
      <c r="F22" s="140" t="s">
        <v>170</v>
      </c>
    </row>
    <row r="23" spans="1:8" ht="15.75" customHeight="1" thickBot="1" x14ac:dyDescent="0.45">
      <c r="B23" s="275" t="s">
        <v>266</v>
      </c>
      <c r="C23" s="282">
        <f>1/Data!C53</f>
        <v>2.0985100539850348</v>
      </c>
      <c r="F23" s="138" t="s">
        <v>174</v>
      </c>
      <c r="G23" s="174">
        <f>G3/(Data!C34*Data!C4/Common_Shares*Exchange_Rate)</f>
        <v>1.2385175380796354</v>
      </c>
    </row>
    <row r="24" spans="1:8" ht="15.75" customHeight="1" x14ac:dyDescent="0.4">
      <c r="B24" s="280" t="s">
        <v>254</v>
      </c>
      <c r="C24" s="281">
        <f>Fin_Analysis!I81</f>
        <v>9.0344684898005026E-3</v>
      </c>
      <c r="F24" s="138" t="s">
        <v>239</v>
      </c>
      <c r="G24" s="263">
        <f>G3/(Fin_Analysis!H86*G7)</f>
        <v>11.974213861696589</v>
      </c>
    </row>
    <row r="25" spans="1:8" ht="15.75" customHeight="1" x14ac:dyDescent="0.4">
      <c r="B25" s="135" t="s">
        <v>255</v>
      </c>
      <c r="C25" s="168">
        <f>Fin_Analysis!I80</f>
        <v>0</v>
      </c>
      <c r="F25" s="138" t="s">
        <v>161</v>
      </c>
      <c r="G25" s="168">
        <f>Fin_Analysis!I88</f>
        <v>0.22549490554616261</v>
      </c>
    </row>
    <row r="26" spans="1:8" ht="15.75" customHeight="1" x14ac:dyDescent="0.4">
      <c r="B26" s="136" t="s">
        <v>256</v>
      </c>
      <c r="C26" s="168">
        <f>Fin_Analysis!I80+Fin_Analysis!I82</f>
        <v>9.5756364731927404E-3</v>
      </c>
      <c r="F26" s="139" t="s">
        <v>178</v>
      </c>
      <c r="G26" s="175">
        <f>Fin_Analysis!H88*Exchange_Rate/G3</f>
        <v>1.8831708548941263E-2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237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7.5279289088495851</v>
      </c>
      <c r="D29" s="127">
        <f>G29*(1+G20)</f>
        <v>43.642393326922921</v>
      </c>
      <c r="E29" s="86"/>
      <c r="F29" s="129">
        <f>IF(Fin_Analysis!C108="Profit",Fin_Analysis!F100,IF(Fin_Analysis!C108="Dividend",Fin_Analysis!F103,Fin_Analysis!F106))</f>
        <v>12.240469765553046</v>
      </c>
      <c r="G29" s="287">
        <f>IF(Fin_Analysis!C108="Profit",Fin_Analysis!I100,IF(Fin_Analysis!C108="Dividend",Fin_Analysis!I103,Fin_Analysis!I106))</f>
        <v>37.949907240802546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unclear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unclear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1117869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USD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13731411</v>
      </c>
      <c r="D6" s="197">
        <f>IF(Inputs!D25="","",Inputs!D25)</f>
        <v>13253917</v>
      </c>
      <c r="E6" s="197">
        <f>IF(Inputs!E25="","",Inputs!E25)</f>
        <v>13203161</v>
      </c>
      <c r="F6" s="197">
        <f>IF(Inputs!F25="","",Inputs!F25)</f>
        <v>9811941</v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3.6026632730535413E-2</v>
      </c>
      <c r="D7" s="91">
        <f t="shared" si="1"/>
        <v>3.844230938333526E-3</v>
      </c>
      <c r="E7" s="91">
        <f t="shared" si="1"/>
        <v>0.34562172764797516</v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8311775</v>
      </c>
      <c r="D8" s="196">
        <f>IF(Inputs!D26="","",Inputs!D26)</f>
        <v>8041340</v>
      </c>
      <c r="E8" s="196">
        <f>IF(Inputs!E26="","",Inputs!E26)</f>
        <v>8081548</v>
      </c>
      <c r="F8" s="196">
        <f>IF(Inputs!F26="","",Inputs!F26)</f>
        <v>6058859</v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5419636</v>
      </c>
      <c r="D9" s="149">
        <f t="shared" si="2"/>
        <v>5212577</v>
      </c>
      <c r="E9" s="149">
        <f t="shared" si="2"/>
        <v>5121613</v>
      </c>
      <c r="F9" s="149">
        <f t="shared" si="2"/>
        <v>3753082</v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3753429</v>
      </c>
      <c r="D10" s="196">
        <f>IF(Inputs!D27="","",Inputs!D27)</f>
        <v>3540841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>
        <f>IF(Inputs!C28="","",Inputs!C28)</f>
        <v>548338</v>
      </c>
      <c r="D11" s="196">
        <f>IF(Inputs!D28="","",Inputs!D28)</f>
        <v>484343</v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0</v>
      </c>
      <c r="D12" s="196">
        <f>IF(Inputs!D30="","",MAX(Inputs!D30,0)/(1-Fin_Analysis!$I$84))</f>
        <v>0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8.1409623526671804E-2</v>
      </c>
      <c r="D13" s="224">
        <f t="shared" si="3"/>
        <v>8.9588081772354541E-2</v>
      </c>
      <c r="E13" s="224" t="e">
        <f t="shared" si="3"/>
        <v>#VALUE!</v>
      </c>
      <c r="F13" s="224" t="e">
        <f t="shared" si="3"/>
        <v>#VALUE!</v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1117869</v>
      </c>
      <c r="D14" s="225">
        <f t="shared" ref="D14:M14" si="4">IF(D6="","",D9-D10-MAX(D11,0)-MAX(D12,0))</f>
        <v>1187393</v>
      </c>
      <c r="E14" s="225" t="e">
        <f t="shared" si="4"/>
        <v>#VALUE!</v>
      </c>
      <c r="F14" s="225" t="e">
        <f t="shared" si="4"/>
        <v>#VALUE!</v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-5.8551802141329788E-2</v>
      </c>
      <c r="D15" s="227" t="e">
        <f t="shared" ref="D15:M15" si="5">IF(E14="","",IF(ABS(D14+E14)=ABS(D14)+ABS(E14),IF(D14&lt;0,-1,1)*(D14-E14)/E14,"Turn"))</f>
        <v>#VALUE!</v>
      </c>
      <c r="E15" s="227" t="e">
        <f t="shared" si="5"/>
        <v>#VALUE!</v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>
        <f>IF(Inputs!C31="","",Inputs!C31)</f>
        <v>-402648</v>
      </c>
      <c r="D16" s="196">
        <f>IF(Inputs!D31="","",Inputs!D31)</f>
        <v>440944</v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236</v>
      </c>
      <c r="C17" s="196">
        <f>IF(Inputs!C29="","",Inputs!C29)</f>
        <v>124056</v>
      </c>
      <c r="D17" s="196">
        <f>IF(Inputs!D29="","",Inputs!D29)</f>
        <v>69868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>
        <f t="shared" ref="C18:M18" si="6">IF(OR(C6="",C19=""),"",C19/C6)</f>
        <v>4.6134151836253391E-2</v>
      </c>
      <c r="D18" s="150">
        <f t="shared" si="6"/>
        <v>3.8694975983326288E-2</v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>
        <f>IF(Inputs!C32="","",Inputs!C32)</f>
        <v>633487</v>
      </c>
      <c r="D19" s="196">
        <f>IF(Inputs!D32="","",Inputs!D32)</f>
        <v>512860</v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3.6558515363060651E-2</v>
      </c>
      <c r="D20" s="150">
        <f t="shared" si="7"/>
        <v>4.3064552162202313E-2</v>
      </c>
      <c r="E20" s="150">
        <f t="shared" si="7"/>
        <v>0</v>
      </c>
      <c r="F20" s="150">
        <f t="shared" si="7"/>
        <v>0</v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>
        <f>IF(Inputs!C33="","",Inputs!C33)</f>
        <v>502000</v>
      </c>
      <c r="D21" s="196">
        <f>IF(Inputs!D33="","",Inputs!D33)</f>
        <v>570774</v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862326</v>
      </c>
      <c r="D22" s="158">
        <f t="shared" ref="D22:M22" si="8">IF(D6="","",D14-MAX(D16,0)-MAX(D17,0)-ABS(MAX(D21,0)-MAX(D19,0)))</f>
        <v>618667</v>
      </c>
      <c r="E22" s="158" t="e">
        <f t="shared" si="8"/>
        <v>#VALUE!</v>
      </c>
      <c r="F22" s="158" t="e">
        <f t="shared" si="8"/>
        <v>#VALUE!</v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4.7099638922758924E-2</v>
      </c>
      <c r="D23" s="151">
        <f t="shared" si="9"/>
        <v>3.5008537476128754E-2</v>
      </c>
      <c r="E23" s="151" t="e">
        <f t="shared" si="9"/>
        <v>#VALUE!</v>
      </c>
      <c r="F23" s="151" t="e">
        <f t="shared" si="9"/>
        <v>#VALUE!</v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646744.5</v>
      </c>
      <c r="D24" s="77">
        <f>IF(D6="","",D22*(1-Fin_Analysis!$I$84))</f>
        <v>464000.25</v>
      </c>
      <c r="E24" s="77" t="e">
        <f>IF(E6="","",E22*(1-Fin_Analysis!$I$84))</f>
        <v>#VALUE!</v>
      </c>
      <c r="F24" s="77" t="e">
        <f>IF(F6="","",F22*(1-Fin_Analysis!$I$84))</f>
        <v>#VALUE!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0.39384515417825744</v>
      </c>
      <c r="D25" s="228" t="e">
        <f t="shared" ref="D25:M25" si="10">IF(E24="","",IF(ABS(D24+E24)=ABS(D24)+ABS(E24),IF(D24&lt;0,-1,1)*(D24-E24)/E24,"Turn"))</f>
        <v>#VALUE!</v>
      </c>
      <c r="E25" s="228" t="e">
        <f t="shared" si="10"/>
        <v>#VALUE!</v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13121656</v>
      </c>
      <c r="D27" s="65">
        <f>IF(D34="","",D34+D30)</f>
        <v>14186566</v>
      </c>
      <c r="E27" s="65">
        <f t="shared" ref="E27:M27" si="20">IF(E34="","",E34+E30)</f>
        <v>12657150</v>
      </c>
      <c r="F27" s="65">
        <f t="shared" si="20"/>
        <v>10617934</v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258</v>
      </c>
      <c r="C30" s="65">
        <f>Inputs!C37</f>
        <v>6868812</v>
      </c>
      <c r="D30" s="196">
        <f>IF(Inputs!D37="","",Inputs!D37)</f>
        <v>8981085</v>
      </c>
      <c r="E30" s="196">
        <f>IF(Inputs!E37="","",Inputs!E37)</f>
        <v>7934632</v>
      </c>
      <c r="F30" s="196">
        <f>IF(Inputs!F37="","",Inputs!F37)</f>
        <v>6715027</v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6252844</v>
      </c>
      <c r="D34" s="196">
        <f>IF(Inputs!D41="","",Inputs!D41)</f>
        <v>5205481</v>
      </c>
      <c r="E34" s="196">
        <f>IF(Inputs!E41="","",Inputs!E41)</f>
        <v>4722518</v>
      </c>
      <c r="F34" s="196">
        <f>IF(Inputs!F41="","",Inputs!F41)</f>
        <v>3902907</v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>
        <f>IF(Inputs!D42="","",Inputs!D42)</f>
        <v>0</v>
      </c>
      <c r="E35" s="196">
        <f>IF(Inputs!E42="","",Inputs!E42)</f>
        <v>0</v>
      </c>
      <c r="F35" s="196">
        <f>IF(Inputs!F42="","",Inputs!F42)</f>
        <v>-98</v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13121656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>
        <f>IF(C6="","",C14/MAX(C37,0))</f>
        <v>8.5192676899927877E-2</v>
      </c>
      <c r="D38" s="153" t="e">
        <f>IF(D6="","",D14/MAX(D37,0))</f>
        <v>#DIV/0!</v>
      </c>
      <c r="E38" s="153" t="e">
        <f>IF(E6="","",E14/MAX(E37,0))</f>
        <v>#VALUE!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243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0.60531106380837341</v>
      </c>
      <c r="D40" s="154">
        <f t="shared" si="34"/>
        <v>0.60671422644339779</v>
      </c>
      <c r="E40" s="154">
        <f t="shared" si="34"/>
        <v>0.61209190738490582</v>
      </c>
      <c r="F40" s="154">
        <f t="shared" si="34"/>
        <v>0.61749851532943378</v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0.31327931266495485</v>
      </c>
      <c r="D41" s="151">
        <f t="shared" si="35"/>
        <v>0.3036976917842476</v>
      </c>
      <c r="E41" s="151" t="e">
        <f t="shared" si="35"/>
        <v>#VALUE!</v>
      </c>
      <c r="F41" s="151" t="e">
        <f t="shared" si="35"/>
        <v>#VALUE!</v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3.326895739576459E-2</v>
      </c>
      <c r="E42" s="151">
        <f t="shared" si="36"/>
        <v>0</v>
      </c>
      <c r="F42" s="151">
        <f t="shared" si="36"/>
        <v>0</v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9.0344684898005026E-3</v>
      </c>
      <c r="D43" s="151">
        <f t="shared" si="37"/>
        <v>5.2714982295422553E-3</v>
      </c>
      <c r="E43" s="151">
        <f t="shared" si="37"/>
        <v>0</v>
      </c>
      <c r="F43" s="151">
        <f t="shared" si="37"/>
        <v>0</v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0</v>
      </c>
      <c r="D44" s="151">
        <f t="shared" si="38"/>
        <v>0</v>
      </c>
      <c r="E44" s="151">
        <f t="shared" si="38"/>
        <v>0</v>
      </c>
      <c r="F44" s="151">
        <f t="shared" si="38"/>
        <v>0</v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9.5756364731927404E-3</v>
      </c>
      <c r="D45" s="151">
        <f t="shared" si="39"/>
        <v>4.369576178876026E-3</v>
      </c>
      <c r="E45" s="151">
        <f t="shared" si="39"/>
        <v>0</v>
      </c>
      <c r="F45" s="151">
        <f t="shared" si="39"/>
        <v>0</v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6.2799518563678561E-2</v>
      </c>
      <c r="D46" s="151">
        <f t="shared" si="40"/>
        <v>4.6678049968171674E-2</v>
      </c>
      <c r="E46" s="151" t="e">
        <f t="shared" si="40"/>
        <v>#VALUE!</v>
      </c>
      <c r="F46" s="151" t="e">
        <f t="shared" si="40"/>
        <v>#VALUE!</v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244</v>
      </c>
      <c r="C47" s="276" t="s">
        <v>261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250</v>
      </c>
      <c r="C48" s="267">
        <f t="shared" ref="C48:M48" si="41">IF(C6="","",C6/C27)</f>
        <v>1.0464693633181665</v>
      </c>
      <c r="D48" s="267">
        <f t="shared" si="41"/>
        <v>0.93425829760352153</v>
      </c>
      <c r="E48" s="267">
        <f t="shared" si="41"/>
        <v>1.0431385422468724</v>
      </c>
      <c r="F48" s="267">
        <f t="shared" si="41"/>
        <v>0.92409135336497661</v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251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252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242</v>
      </c>
      <c r="C51" s="151">
        <f t="shared" ref="C51:M51" si="44">IF(D6="","",C16/(C6-D6))</f>
        <v>-0.8432524806594428</v>
      </c>
      <c r="D51" s="151">
        <f t="shared" si="44"/>
        <v>8.6875246276302303</v>
      </c>
      <c r="E51" s="151" t="e">
        <f t="shared" si="44"/>
        <v>#VALUE!</v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246</v>
      </c>
      <c r="C53" s="154">
        <f t="shared" ref="C53:M53" si="45">IF(C34="","",(C34-C35)/C27)</f>
        <v>0.47652857230825135</v>
      </c>
      <c r="D53" s="154">
        <f t="shared" si="45"/>
        <v>0.3669303057554591</v>
      </c>
      <c r="E53" s="154">
        <f t="shared" si="45"/>
        <v>0.37311069237545574</v>
      </c>
      <c r="F53" s="154">
        <f t="shared" si="45"/>
        <v>0.36758610479213755</v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e">
        <f t="shared" si="46"/>
        <v>#VALUE!</v>
      </c>
      <c r="F54" s="155" t="e">
        <f t="shared" si="46"/>
        <v>#VALUE!</v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0.1438620660863757</v>
      </c>
      <c r="D55" s="151">
        <f t="shared" si="47"/>
        <v>0.11293312880758147</v>
      </c>
      <c r="E55" s="151" t="e">
        <f t="shared" si="47"/>
        <v>#VALUE!</v>
      </c>
      <c r="F55" s="151" t="e">
        <f t="shared" si="47"/>
        <v>#VALUE!</v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265</v>
      </c>
      <c r="C56" s="151">
        <f>IF(C34="","",IF(Inputs!C38=0,0,Inputs!C38/C27))</f>
        <v>0</v>
      </c>
      <c r="D56" s="151">
        <f>IF(D34="","",IF(Inputs!D38=0,0,Inputs!D38/D27))</f>
        <v>0</v>
      </c>
      <c r="E56" s="151">
        <f>IF(E34="","",IF(Inputs!E38=0,0,Inputs!E38/E27))</f>
        <v>0</v>
      </c>
      <c r="F56" s="151">
        <f>IF(F34="","",IF(Inputs!F38=0,0,Inputs!F38/F27))</f>
        <v>0</v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247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248</v>
      </c>
      <c r="C58" s="269">
        <f t="shared" ref="C58:M58" si="49">IF(C14="","",C14/(C34-C35))</f>
        <v>0.17877768900039726</v>
      </c>
      <c r="D58" s="269">
        <f t="shared" si="49"/>
        <v>0.22810437690580371</v>
      </c>
      <c r="E58" s="269" t="e">
        <f t="shared" si="49"/>
        <v>#VALUE!</v>
      </c>
      <c r="F58" s="269" t="e">
        <f t="shared" si="49"/>
        <v>#VALUE!</v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249</v>
      </c>
      <c r="C59" s="269">
        <f t="shared" ref="C59:M59" si="50">IF(C22="","",C22/(C34-C35))</f>
        <v>0.13790940570402843</v>
      </c>
      <c r="D59" s="269">
        <f t="shared" si="50"/>
        <v>0.11884915150012074</v>
      </c>
      <c r="E59" s="269" t="e">
        <f t="shared" si="50"/>
        <v>#VALUE!</v>
      </c>
      <c r="F59" s="269" t="e">
        <f t="shared" si="50"/>
        <v>#VALUE!</v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6252844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6252844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USD</v>
      </c>
      <c r="C6" s="86"/>
      <c r="D6" s="69">
        <f>(E49-I49-E53)</f>
        <v>-6868812</v>
      </c>
      <c r="E6" s="56">
        <f>1-D6/D3</f>
        <v>2.0985100539850343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6868812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>
        <f>(E44+E45+E24+E25)/$I$49</f>
        <v>0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79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7">
        <f>I49-I28</f>
        <v>6868812</v>
      </c>
      <c r="J48" s="8"/>
    </row>
    <row r="49" spans="2:11" ht="15" customHeight="1" thickTop="1" x14ac:dyDescent="0.4">
      <c r="B49" s="3" t="s">
        <v>13</v>
      </c>
      <c r="C49" s="61">
        <f>Inputs!C41+Inputs!C37</f>
        <v>13121656</v>
      </c>
      <c r="D49" s="56">
        <f>E49/C49</f>
        <v>0</v>
      </c>
      <c r="E49" s="87">
        <f>E28+E48</f>
        <v>0</v>
      </c>
      <c r="F49" s="86"/>
      <c r="G49" s="86"/>
      <c r="H49" s="3" t="s">
        <v>81</v>
      </c>
      <c r="I49" s="40">
        <f>Inputs!C37</f>
        <v>6868812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13121656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6868812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6252844</v>
      </c>
      <c r="D70" s="29">
        <f t="shared" si="2"/>
        <v>-1.0985100539850345</v>
      </c>
      <c r="E70" s="68">
        <f>E68-E69</f>
        <v>-6868812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13731411</v>
      </c>
      <c r="D74" s="204"/>
      <c r="E74" s="233">
        <f>Inputs!E91</f>
        <v>13731411</v>
      </c>
      <c r="F74" s="204"/>
      <c r="H74" s="233">
        <f>Inputs!F91</f>
        <v>13731411</v>
      </c>
      <c r="I74" s="204"/>
      <c r="K74" s="24"/>
    </row>
    <row r="75" spans="1:11" ht="15" customHeight="1" x14ac:dyDescent="0.4">
      <c r="B75" s="103" t="s">
        <v>101</v>
      </c>
      <c r="C75" s="77">
        <f>Data!C8</f>
        <v>8311775</v>
      </c>
      <c r="D75" s="156">
        <f>C75/$C$74</f>
        <v>0.60531106380837341</v>
      </c>
      <c r="E75" s="233">
        <f>Inputs!E92</f>
        <v>8311775.0000000009</v>
      </c>
      <c r="F75" s="157">
        <f>E75/E74</f>
        <v>0.60531106380837341</v>
      </c>
      <c r="H75" s="233">
        <f>Inputs!F92</f>
        <v>8311775.0000000009</v>
      </c>
      <c r="I75" s="157">
        <f>H75/$H$74</f>
        <v>0.60531106380837341</v>
      </c>
      <c r="K75" s="24"/>
    </row>
    <row r="76" spans="1:11" ht="15" customHeight="1" x14ac:dyDescent="0.4">
      <c r="B76" s="35" t="s">
        <v>91</v>
      </c>
      <c r="C76" s="158">
        <f>C74-C75</f>
        <v>5419636</v>
      </c>
      <c r="D76" s="205"/>
      <c r="E76" s="159">
        <f>E74-E75</f>
        <v>5419635.9999999991</v>
      </c>
      <c r="F76" s="205"/>
      <c r="H76" s="159">
        <f>H74-H75</f>
        <v>5419635.9999999991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4301767</v>
      </c>
      <c r="D77" s="156">
        <f>C77/$C$74</f>
        <v>0.31327931266495485</v>
      </c>
      <c r="E77" s="233">
        <f>Inputs!E93</f>
        <v>4301767</v>
      </c>
      <c r="F77" s="157">
        <f>E77/E74</f>
        <v>0.31327931266495485</v>
      </c>
      <c r="H77" s="233">
        <f>Inputs!F93</f>
        <v>4301767</v>
      </c>
      <c r="I77" s="157">
        <f>H77/$H$74</f>
        <v>0.31327931266495485</v>
      </c>
      <c r="K77" s="24"/>
    </row>
    <row r="78" spans="1:11" ht="15" customHeight="1" x14ac:dyDescent="0.4">
      <c r="B78" s="73" t="s">
        <v>160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4">
      <c r="B79" s="251" t="s">
        <v>216</v>
      </c>
      <c r="C79" s="252">
        <f>C76-C77-C78</f>
        <v>1117869</v>
      </c>
      <c r="D79" s="253">
        <f>C79/C74</f>
        <v>8.1409623526671804E-2</v>
      </c>
      <c r="E79" s="254">
        <f>E76-E77-E78</f>
        <v>1117868.9999999991</v>
      </c>
      <c r="F79" s="253">
        <f>E79/E74</f>
        <v>8.1409623526671734E-2</v>
      </c>
      <c r="G79" s="255"/>
      <c r="H79" s="254">
        <f>H76-H77-H78</f>
        <v>1117868.9999999991</v>
      </c>
      <c r="I79" s="253">
        <f>H79/H74</f>
        <v>8.1409623526671734E-2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236</v>
      </c>
      <c r="C81" s="77">
        <f>MAX(Data!C17,0)</f>
        <v>124056</v>
      </c>
      <c r="D81" s="156">
        <f>C81/$C$74</f>
        <v>9.0344684898005026E-3</v>
      </c>
      <c r="E81" s="177">
        <f>E74*F81</f>
        <v>124056.00000000001</v>
      </c>
      <c r="F81" s="157">
        <f>I81</f>
        <v>9.0344684898005026E-3</v>
      </c>
      <c r="H81" s="233">
        <f>Inputs!F94</f>
        <v>124056.00000000001</v>
      </c>
      <c r="I81" s="157">
        <f>H81/$H$74</f>
        <v>9.0344684898005026E-3</v>
      </c>
      <c r="K81" s="24"/>
    </row>
    <row r="82" spans="1:11" ht="15" customHeight="1" x14ac:dyDescent="0.4">
      <c r="B82" s="28" t="s">
        <v>228</v>
      </c>
      <c r="C82" s="77">
        <f>ABS(MAX(Data!C21,0)-MAX(Data!C19,0))</f>
        <v>131487</v>
      </c>
      <c r="D82" s="156">
        <f>C82/$C$74</f>
        <v>9.5756364731927404E-3</v>
      </c>
      <c r="E82" s="233">
        <f>Inputs!E95</f>
        <v>131487</v>
      </c>
      <c r="F82" s="157">
        <f>E82/E74</f>
        <v>9.5756364731927404E-3</v>
      </c>
      <c r="H82" s="233">
        <f>Inputs!F95</f>
        <v>131487</v>
      </c>
      <c r="I82" s="157">
        <f>H82/$H$74</f>
        <v>9.5756364731927404E-3</v>
      </c>
      <c r="K82" s="24"/>
    </row>
    <row r="83" spans="1:11" ht="15" customHeight="1" thickBot="1" x14ac:dyDescent="0.45">
      <c r="B83" s="104" t="s">
        <v>119</v>
      </c>
      <c r="C83" s="160">
        <f>C79-C81-C82-C80</f>
        <v>862326</v>
      </c>
      <c r="D83" s="161">
        <f>C83/$C$74</f>
        <v>6.2799518563678561E-2</v>
      </c>
      <c r="E83" s="162">
        <f>E79-E81-E82-E80</f>
        <v>862325.99999999907</v>
      </c>
      <c r="F83" s="161">
        <f>E83/E74</f>
        <v>6.2799518563678491E-2</v>
      </c>
      <c r="H83" s="162">
        <f>H79-H81-H82-H80</f>
        <v>862325.99999999907</v>
      </c>
      <c r="I83" s="161">
        <f>H83/$H$74</f>
        <v>6.2799518563678491E-2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646744.5</v>
      </c>
      <c r="D85" s="253">
        <f>C85/$C$74</f>
        <v>4.7099638922758924E-2</v>
      </c>
      <c r="E85" s="259">
        <f>E83*(1-F84)</f>
        <v>646744.4999999993</v>
      </c>
      <c r="F85" s="253">
        <f>E85/E74</f>
        <v>4.7099638922758869E-2</v>
      </c>
      <c r="G85" s="255"/>
      <c r="H85" s="259">
        <f>H83*(1-I84)</f>
        <v>646744.4999999993</v>
      </c>
      <c r="I85" s="253">
        <f>H85/$H$74</f>
        <v>4.7099638922758869E-2</v>
      </c>
      <c r="K85" s="24"/>
    </row>
    <row r="86" spans="1:11" ht="15" customHeight="1" x14ac:dyDescent="0.4">
      <c r="B86" s="86" t="s">
        <v>151</v>
      </c>
      <c r="C86" s="164">
        <f>C85*Data!C4/Common_Shares</f>
        <v>1.1015769930516173</v>
      </c>
      <c r="D86" s="204"/>
      <c r="E86" s="165">
        <f>E85*Data!C4/Common_Shares</f>
        <v>1.1015769930516162</v>
      </c>
      <c r="F86" s="204"/>
      <c r="H86" s="165">
        <f>H85*Data!C4/Common_Shares</f>
        <v>1.1015769930516162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8.3512789361381443E-2</v>
      </c>
      <c r="D87" s="204"/>
      <c r="E87" s="257">
        <f>E86*Exchange_Rate/Dashboard!G3</f>
        <v>8.3512789361381359E-2</v>
      </c>
      <c r="F87" s="204"/>
      <c r="H87" s="257">
        <f>H86*Exchange_Rate/Dashboard!G3</f>
        <v>8.3512789361381359E-2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0.24840000000000001</v>
      </c>
      <c r="D88" s="163">
        <f>C88/C86</f>
        <v>0.22549490554616239</v>
      </c>
      <c r="E88" s="167">
        <f>Inputs!E98</f>
        <v>0.24840000000000001</v>
      </c>
      <c r="F88" s="163">
        <f>E88/E86</f>
        <v>0.22549490554616261</v>
      </c>
      <c r="H88" s="167">
        <f>Inputs!F98</f>
        <v>0.24840000000000001</v>
      </c>
      <c r="I88" s="163">
        <f>H88/H86</f>
        <v>0.22549490554616261</v>
      </c>
      <c r="K88" s="24"/>
    </row>
    <row r="89" spans="1:11" ht="15" customHeight="1" x14ac:dyDescent="0.4">
      <c r="B89" s="86" t="s">
        <v>205</v>
      </c>
      <c r="C89" s="256">
        <f>C88*Exchange_Rate/Dashboard!G3</f>
        <v>1.8831708548941263E-2</v>
      </c>
      <c r="D89" s="204"/>
      <c r="E89" s="256">
        <f>E88*Exchange_Rate/Dashboard!G3</f>
        <v>1.8831708548941263E-2</v>
      </c>
      <c r="F89" s="204"/>
      <c r="H89" s="256">
        <f>H88*Exchange_Rate/Dashboard!G3</f>
        <v>1.8831708548941263E-2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HK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HK Discount Rate</v>
      </c>
      <c r="C93" s="134">
        <f>IF(C92="CN",Dashboard!C17,IF(C92="US",Dashboard!C12,IF(C92="HK",Dashboard!D12,Dashboard!D17)))</f>
        <v>8.0625000000000002E-2</v>
      </c>
      <c r="D93" s="234">
        <f>Inputs!C86</f>
        <v>5</v>
      </c>
      <c r="E93" s="86" t="s">
        <v>194</v>
      </c>
      <c r="F93" s="142">
        <f>FV(E87,D93,0,-(E86/(C93-D94)))*Exchange_Rate</f>
        <v>210.86053931092113</v>
      </c>
      <c r="H93" s="86" t="s">
        <v>194</v>
      </c>
      <c r="I93" s="142">
        <f>FV(H87,D93,0,-(H86/(C93-D94)))*Exchange_Rate</f>
        <v>210.86053931092113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34.95216661774672</v>
      </c>
      <c r="H94" s="86" t="s">
        <v>195</v>
      </c>
      <c r="I94" s="142">
        <f>FV(H89,D93,0,-(H88/(C93-D94)))*Exchange_Rate</f>
        <v>34.95216661774672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61549424.763559274</v>
      </c>
      <c r="D97" s="208"/>
      <c r="E97" s="121">
        <f>PV(C94,D93,0,-F93)</f>
        <v>104.83495453784049</v>
      </c>
      <c r="F97" s="208"/>
      <c r="H97" s="121">
        <f>PV(C94,D93,0,-I93)</f>
        <v>104.83495453784049</v>
      </c>
      <c r="I97" s="121">
        <f>PV(C93,D93,0,-I93)</f>
        <v>143.09361644838143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(E65+IF(E70&lt;0,E70,0))*Exchange_Rate</f>
        <v>-53375705.435993195</v>
      </c>
      <c r="D99" s="209"/>
      <c r="E99" s="143">
        <f>IF(H99&gt;0,H99*(1-C94),H99*(1+C94))</f>
        <v>-104.54989019716253</v>
      </c>
      <c r="F99" s="209"/>
      <c r="H99" s="143">
        <f>C99*Data!$C$4/Common_Shares</f>
        <v>-90.91294799753264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8173719.3275660798</v>
      </c>
      <c r="D100" s="108">
        <f>MIN(F100*(1-C94),E100)</f>
        <v>0.28506434067796249</v>
      </c>
      <c r="E100" s="108">
        <f>MAX(E97+H98+E99,0)</f>
        <v>0.28506434067796249</v>
      </c>
      <c r="F100" s="108">
        <f>(E100+H100)/2</f>
        <v>7.1035354404929061</v>
      </c>
      <c r="H100" s="108">
        <f>MAX(C100*Data!$C$4/Common_Shares,0)</f>
        <v>13.92200654030785</v>
      </c>
      <c r="I100" s="108">
        <f>MAX(I97+H98+H99,0)</f>
        <v>52.180668450848785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10202410.354221113</v>
      </c>
      <c r="D103" s="108">
        <f>MIN(F103*(1-C94),E103)</f>
        <v>14.770793477021208</v>
      </c>
      <c r="E103" s="121">
        <f>PV(C94,D93,0,-F94)</f>
        <v>17.377404090613187</v>
      </c>
      <c r="F103" s="108">
        <f>(E103+H103)/2</f>
        <v>17.377404090613187</v>
      </c>
      <c r="H103" s="121">
        <f>PV(C94,D93,0,-I94)</f>
        <v>17.377404090613187</v>
      </c>
      <c r="I103" s="108">
        <f>PV(C93,D93,0,-I94)</f>
        <v>23.71914603075631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5184886.9331941102</v>
      </c>
      <c r="D106" s="108">
        <f>(D100+D103)/2</f>
        <v>7.5279289088495851</v>
      </c>
      <c r="E106" s="121">
        <f>(E100+E103)/2</f>
        <v>8.8312342156455745</v>
      </c>
      <c r="F106" s="108">
        <f>(F100+F103)/2</f>
        <v>12.240469765553046</v>
      </c>
      <c r="H106" s="121">
        <f>(H100+H103)/2</f>
        <v>15.649705315460519</v>
      </c>
      <c r="I106" s="121">
        <f>(I100+I103)/2</f>
        <v>37.949907240802546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Avg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