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5868EAF-AC8F-4D7F-A356-19395D90A45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C44" i="4"/>
  <c r="B47" i="4"/>
  <c r="C49" i="3"/>
  <c r="E56" i="2"/>
  <c r="I56" i="2"/>
  <c r="J56" i="2"/>
  <c r="M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5" i="4"/>
  <c r="F96" i="4"/>
  <c r="E92" i="4"/>
  <c r="F97" i="4"/>
  <c r="D53" i="4"/>
  <c r="G56" i="2"/>
  <c r="F56" i="2"/>
  <c r="L56" i="2"/>
  <c r="D56" i="2"/>
  <c r="K56" i="2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D52" i="3"/>
  <c r="C98" i="3"/>
  <c r="D6" i="3"/>
  <c r="D53" i="3"/>
  <c r="C57" i="2" l="1"/>
  <c r="D7" i="3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<sst xmlns="http://schemas.openxmlformats.org/spreadsheetml/2006/main" count="392" uniqueCount="277">
  <si>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</si>
  <si>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</si>
  <si>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</si>
  <si>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</si>
  <si>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</si>
  <si>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</si>
  <si>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</si>
  <si>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</si>
  <si>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</si>
  <si>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</si>
  <si>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</si>
  <si>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</si>
  <si>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</si>
  <si>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</si>
  <si>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</si>
  <si>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</si>
  <si>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</si>
  <si>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</si>
  <si>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</si>
  <si>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</si>
  <si>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</si>
  <si>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</si>
  <si>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</si>
  <si>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</si>
  <si>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</si>
  <si>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</si>
  <si>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</si>
  <si>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</si>
  <si>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</si>
  <si>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</si>
  <si>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</si>
  <si>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</si>
  <si>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</si>
  <si>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</si>
  <si>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</si>
  <si>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</si>
  <si>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</si>
  <si>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</si>
  <si>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</si>
  <si>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</si>
  <si>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</si>
  <si>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</si>
  <si>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</si>
  <si>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</si>
  <si>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</si>
  <si>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</si>
  <si>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</si>
  <si>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</si>
  <si>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</si>
  <si>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</si>
  <si>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</si>
  <si>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</si>
  <si>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</si>
  <si>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</si>
  <si>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</si>
  <si>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</si>
  <si>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</si>
  <si>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</si>
  <si>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</si>
  <si>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</si>
  <si>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</si>
  <si>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</si>
  <si>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</si>
  <si>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</si>
  <si>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</si>
  <si>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</si>
  <si>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</si>
  <si>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</si>
  <si>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</si>
  <si>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</si>
  <si>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</si>
  <si>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</si>
  <si>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</si>
  <si>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</si>
  <si>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</si>
  <si>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</si>
  <si>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</si>
  <si>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</si>
  <si>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</si>
  <si>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</si>
  <si>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</si>
  <si>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</si>
  <si>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</si>
  <si>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</si>
  <si>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</si>
  <si>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</si>
  <si>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</si>
  <si>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</si>
  <si>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</si>
  <si>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</si>
  <si>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</si>
  <si>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</si>
  <si>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</si>
  <si>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</si>
  <si>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</si>
  <si>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</si>
  <si>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</si>
  <si>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</si>
  <si>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</si>
  <si>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</si>
  <si>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</si>
  <si>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</si>
  <si>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</si>
  <si>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</si>
  <si>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</si>
  <si>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</si>
  <si>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</si>
  <si>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</si>
  <si>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</si>
  <si>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</si>
  <si>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</si>
  <si>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</si>
  <si>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</si>
  <si>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</si>
  <si>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</si>
  <si>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</si>
  <si>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</si>
  <si>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</si>
  <si>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</si>
  <si>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</si>
  <si>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</si>
  <si>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</si>
  <si>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</si>
  <si>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</si>
  <si>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</si>
  <si>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</si>
  <si>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</si>
  <si>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</si>
  <si>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</si>
  <si>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</si>
  <si>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</si>
  <si>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</si>
  <si>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</si>
  <si>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</si>
  <si>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</si>
  <si>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</si>
  <si>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</si>
  <si>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</si>
  <si>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</si>
  <si>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</si>
  <si>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</si>
  <si>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</si>
  <si>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</si>
  <si>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</si>
  <si>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</si>
  <si>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</si>
  <si>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</si>
  <si>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</si>
  <si>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</si>
  <si>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</si>
  <si>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</si>
  <si>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</si>
  <si>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</si>
  <si>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</si>
  <si>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</si>
  <si>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</si>
  <si>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</si>
  <si>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</si>
  <si>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</si>
  <si>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</si>
  <si>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</si>
  <si>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</si>
  <si>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</si>
  <si>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</si>
  <si>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</si>
  <si>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</si>
  <si>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</si>
  <si>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</si>
  <si>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</si>
  <si>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</si>
  <si>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</si>
  <si>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</si>
  <si>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</si>
  <si>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</si>
  <si>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</si>
  <si>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</si>
  <si>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</si>
  <si>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</si>
  <si>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</si>
  <si>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</si>
  <si>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</si>
  <si>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</si>
  <si>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</si>
  <si>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</si>
  <si>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</si>
  <si>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</si>
  <si>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</si>
  <si>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</si>
  <si>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</si>
  <si>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</si>
  <si>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</si>
  <si>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</si>
  <si>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</si>
  <si>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</si>
  <si>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</si>
  <si>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</si>
  <si>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</si>
  <si>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</si>
  <si>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</si>
  <si>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</si>
  <si>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</si>
  <si>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</si>
  <si>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</si>
  <si>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</si>
  <si>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</si>
  <si>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</si>
  <si>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</si>
  <si>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</si>
  <si>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</si>
  <si>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</si>
  <si>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</si>
  <si>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</si>
  <si>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</si>
  <si>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</si>
  <si>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</si>
  <si>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</si>
  <si>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</si>
  <si>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</si>
  <si>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</si>
  <si>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</si>
  <si>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</si>
  <si>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</si>
  <si>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</si>
  <si>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</si>
  <si>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</si>
  <si>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</si>
  <si>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</si>
  <si>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</si>
  <si>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</si>
  <si>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</si>
  <si>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</si>
  <si>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</si>
  <si>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</si>
  <si>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</si>
  <si>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</si>
  <si>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</si>
  <si>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</si>
  <si>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</si>
  <si>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</si>
  <si>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</si>
  <si>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</si>
  <si>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</si>
  <si>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</si>
  <si>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</si>
  <si>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</si>
  <si>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</si>
  <si>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</si>
  <si>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</si>
  <si>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</si>
  <si>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</si>
  <si>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</si>
  <si>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</si>
  <si>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</si>
  <si>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</si>
  <si>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</si>
  <si>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</si>
  <si>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</si>
  <si>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</si>
  <si>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</si>
  <si>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</si>
  <si>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</si>
  <si>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</si>
  <si>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</si>
  <si>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</si>
  <si>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</si>
  <si>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</si>
  <si>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</si>
  <si>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</si>
  <si>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</si>
  <si>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0788.HK</t>
  </si>
  <si>
    <t>中国铁塔</t>
  </si>
  <si>
    <t>Tier 3</t>
  </si>
  <si>
    <t>C0010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</si>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</sst>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269</v>
      </c>
    </row>
    <row r="5" spans="1:5" ht="13.9" x14ac:dyDescent="0.4">
      <c r="B5" s="139" t="s">
        <v>180</v>
      </c>
      <c r="C5" s="188" t="s">
        <v>270</v>
      </c>
    </row>
    <row r="6" spans="1:5" ht="13.9" x14ac:dyDescent="0.4">
      <c r="B6" s="139" t="s">
        <v>154</v>
      </c>
      <c r="C6" s="186">
        <v>45603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271</v>
      </c>
      <c r="E8" s="262"/>
    </row>
    <row r="9" spans="1:5" ht="13.9" x14ac:dyDescent="0.4">
      <c r="B9" s="138" t="s">
        <v>201</v>
      </c>
      <c r="C9" s="189" t="s">
        <v>272</v>
      </c>
    </row>
    <row r="10" spans="1:5" ht="13.9" x14ac:dyDescent="0.4">
      <c r="B10" s="138" t="s">
        <v>202</v>
      </c>
      <c r="C10" s="190">
        <v>176008471024</v>
      </c>
    </row>
    <row r="11" spans="1:5" ht="13.9" x14ac:dyDescent="0.4">
      <c r="B11" s="138" t="s">
        <v>203</v>
      </c>
      <c r="C11" s="189" t="s">
        <v>273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240</v>
      </c>
    </row>
    <row r="16" spans="1:5" ht="13.9" x14ac:dyDescent="0.4">
      <c r="B16" s="217" t="s">
        <v>92</v>
      </c>
      <c r="C16" s="218">
        <v>0.25</v>
      </c>
      <c r="D16" s="24"/>
      <c r="E16" s="109" t="s">
        <v>268</v>
      </c>
    </row>
    <row r="17" spans="2:13" ht="13.9" x14ac:dyDescent="0.4">
      <c r="B17" s="235" t="s">
        <v>208</v>
      </c>
      <c r="C17" s="237" t="s">
        <v>274</v>
      </c>
      <c r="D17" s="24"/>
    </row>
    <row r="18" spans="2:13" ht="13.9" x14ac:dyDescent="0.4">
      <c r="B18" s="235" t="s">
        <v>222</v>
      </c>
      <c r="C18" s="237" t="s">
        <v>274</v>
      </c>
      <c r="D18" s="24"/>
    </row>
    <row r="19" spans="2:13" ht="13.9" x14ac:dyDescent="0.4">
      <c r="B19" s="235" t="s">
        <v>223</v>
      </c>
      <c r="C19" s="237" t="s">
        <v>274</v>
      </c>
      <c r="D19" s="24"/>
    </row>
    <row r="20" spans="2:13" ht="13.9" x14ac:dyDescent="0.4">
      <c r="B20" s="236" t="s">
        <v>212</v>
      </c>
      <c r="C20" s="237" t="s">
        <v>274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275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94009</v>
      </c>
      <c r="D25" s="147">
        <v>92170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65301</v>
      </c>
      <c r="D26" s="148">
        <v>65065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14206</v>
      </c>
      <c r="D27" s="148">
        <v>13793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2827</v>
      </c>
      <c r="D29" s="148">
        <v>3003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0.03739+0.0109</f>
        <v>4.829E-2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4.5947562669714288E-2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94009</v>
      </c>
      <c r="D91" s="204"/>
      <c r="E91" s="246">
        <f>C91</f>
        <v>94009</v>
      </c>
      <c r="F91" s="246">
        <f>C91</f>
        <v>94009</v>
      </c>
    </row>
    <row r="92" spans="2:8" ht="13.9" x14ac:dyDescent="0.4">
      <c r="B92" s="103" t="s">
        <v>101</v>
      </c>
      <c r="C92" s="77">
        <f>C26</f>
        <v>65301</v>
      </c>
      <c r="D92" s="156">
        <f>C92/C91</f>
        <v>0.69462498271442097</v>
      </c>
      <c r="E92" s="247">
        <f>E91*D92</f>
        <v>65301</v>
      </c>
      <c r="F92" s="247">
        <f>F91*D92</f>
        <v>65301</v>
      </c>
    </row>
    <row r="93" spans="2:8" ht="13.9" x14ac:dyDescent="0.4">
      <c r="B93" s="103" t="s">
        <v>229</v>
      </c>
      <c r="C93" s="77">
        <f>C27+C28</f>
        <v>14206</v>
      </c>
      <c r="D93" s="156">
        <f>C93/C91</f>
        <v>0.15111319129019563</v>
      </c>
      <c r="E93" s="247">
        <f>E91*D93</f>
        <v>14206</v>
      </c>
      <c r="F93" s="247">
        <f>F91*D93</f>
        <v>14206</v>
      </c>
    </row>
    <row r="94" spans="2:8" ht="13.9" x14ac:dyDescent="0.4">
      <c r="B94" s="103" t="s">
        <v>237</v>
      </c>
      <c r="C94" s="77">
        <f>C29</f>
        <v>2827</v>
      </c>
      <c r="D94" s="156">
        <f>C94/C91</f>
        <v>3.0071588890425386E-2</v>
      </c>
      <c r="E94" s="248"/>
      <c r="F94" s="247">
        <f>F91*D94</f>
        <v>2827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4.829E-2</v>
      </c>
      <c r="D98" s="261"/>
      <c r="E98" s="249">
        <f>F98</f>
        <v>4.829E-2</v>
      </c>
      <c r="F98" s="249">
        <f>C98</f>
        <v>4.829E-2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0788.HK : 中国铁塔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0788.HK</v>
      </c>
      <c r="D3" s="291"/>
      <c r="E3" s="86"/>
      <c r="F3" s="3" t="s">
        <v>1</v>
      </c>
      <c r="G3" s="130">
        <v>1.1200000000000001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中国铁塔</v>
      </c>
      <c r="D4" s="293"/>
      <c r="E4" s="86"/>
      <c r="F4" s="3" t="s">
        <v>2</v>
      </c>
      <c r="G4" s="296">
        <f>Inputs!C10</f>
        <v>176008471024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45603</v>
      </c>
      <c r="D5" s="295"/>
      <c r="E5" s="34"/>
      <c r="F5" s="35" t="s">
        <v>95</v>
      </c>
      <c r="G5" s="288">
        <f>G3*G4/1000000</f>
        <v>197129.48754688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Tier 3</v>
      </c>
      <c r="D7" s="184" t="str">
        <f>Inputs!C9</f>
        <v>C0010</v>
      </c>
      <c r="E7" s="86"/>
      <c r="F7" s="35" t="s">
        <v>5</v>
      </c>
      <c r="G7" s="131">
        <v>1.0656713644663494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0.15426182599538343</v>
      </c>
      <c r="F21" s="86"/>
      <c r="G21" s="29"/>
    </row>
    <row r="22" spans="1:8" ht="15.75" customHeight="1" x14ac:dyDescent="0.4">
      <c r="B22" s="273" t="s">
        <v>261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267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255</v>
      </c>
      <c r="C24" s="281">
        <f>Fin_Analysis!I81</f>
        <v>3.0071588890425386E-2</v>
      </c>
      <c r="F24" s="138" t="s">
        <v>239</v>
      </c>
      <c r="G24" s="263">
        <f>G3/(Fin_Analysis!H86*G7)</f>
        <v>21.125653109302586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0.97067227017832514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178</v>
      </c>
      <c r="G26" s="175">
        <f>Fin_Analysis!H88*Exchange_Rate/G3</f>
        <v>4.5947562669714288E-2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0.42616864557203693</v>
      </c>
      <c r="D29" s="127">
        <f>G29*(1+G20)</f>
        <v>0.7668327692412823</v>
      </c>
      <c r="E29" s="86"/>
      <c r="F29" s="129">
        <f>IF(Fin_Analysis!C108="Profit",Fin_Analysis!F100,IF(Fin_Analysis!C108="Dividend",Fin_Analysis!F103,Fin_Analysis!F106))</f>
        <v>0.50137487714357287</v>
      </c>
      <c r="G29" s="287">
        <f>IF(Fin_Analysis!C108="Profit",Fin_Analysis!I100,IF(Fin_Analysis!C108="Dividend",Fin_Analysis!I103,Fin_Analysis!I106))</f>
        <v>0.66681110368807162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14502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94009</v>
      </c>
      <c r="D6" s="197">
        <f>IF(Inputs!D25="","",Inputs!D25)</f>
        <v>92170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1.995226212433554E-2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65301</v>
      </c>
      <c r="D8" s="196">
        <f>IF(Inputs!D26="","",Inputs!D26)</f>
        <v>65065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28708</v>
      </c>
      <c r="D9" s="149">
        <f t="shared" si="2"/>
        <v>27105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14206</v>
      </c>
      <c r="D10" s="196">
        <f>IF(Inputs!D27="","",Inputs!D27)</f>
        <v>13793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 t="str">
        <f>IF(Inputs!C30="","",MAX(Inputs!C30,0)/(1-Fin_Analysis!$I$84))</f>
        <v/>
      </c>
      <c r="D12" s="196" t="str">
        <f>IF(Inputs!D30="","",MAX(Inputs!D30,0)/(1-Fin_Analysis!$I$84))</f>
        <v/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0.15426182599538343</v>
      </c>
      <c r="D13" s="224">
        <f t="shared" si="3"/>
        <v>0.14442877291960507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14502</v>
      </c>
      <c r="D14" s="225">
        <f t="shared" ref="D14:M14" si="4">IF(D6="","",D9-D10-MAX(D11,0)-MAX(D12,0))</f>
        <v>13312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8.9393028846153841E-2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2827</v>
      </c>
      <c r="D17" s="196">
        <f>IF(Inputs!D29="","",Inputs!D29)</f>
        <v>3003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11675</v>
      </c>
      <c r="D22" s="158">
        <f t="shared" ref="D22:M22" si="8">IF(D6="","",D14-MAX(D16,0)-MAX(D17,0)-ABS(MAX(D21,0)-MAX(D19,0)))</f>
        <v>10309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9.3142677828718531E-2</v>
      </c>
      <c r="D23" s="151">
        <f t="shared" si="9"/>
        <v>8.3885754583921016E-2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8756.25</v>
      </c>
      <c r="D24" s="77">
        <f>IF(D6="","",D22*(1-Fin_Analysis!$I$84))</f>
        <v>7731.75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0.13250557765059656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0.69462498271442097</v>
      </c>
      <c r="D40" s="154">
        <f t="shared" si="34"/>
        <v>0.70592383638928069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0.15111319129019563</v>
      </c>
      <c r="D41" s="151">
        <f t="shared" si="35"/>
        <v>0.14964739069111424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3.0071588890425386E-2</v>
      </c>
      <c r="D43" s="151">
        <f t="shared" si="37"/>
        <v>3.258110014104372E-2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0.12419023710495804</v>
      </c>
      <c r="D46" s="151">
        <f t="shared" si="40"/>
        <v>0.11184767277856135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0.24214132762312635</v>
      </c>
      <c r="D55" s="151">
        <f t="shared" si="47"/>
        <v>0.29129886506935687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94009</v>
      </c>
      <c r="D74" s="204"/>
      <c r="E74" s="233">
        <f>Inputs!E91</f>
        <v>94009</v>
      </c>
      <c r="F74" s="204"/>
      <c r="H74" s="233">
        <f>Inputs!F91</f>
        <v>94009</v>
      </c>
      <c r="I74" s="204"/>
      <c r="K74" s="24"/>
    </row>
    <row r="75" spans="1:11" ht="15" customHeight="1" x14ac:dyDescent="0.4">
      <c r="B75" s="103" t="s">
        <v>101</v>
      </c>
      <c r="C75" s="77">
        <f>Data!C8</f>
        <v>65301</v>
      </c>
      <c r="D75" s="156">
        <f>C75/$C$74</f>
        <v>0.69462498271442097</v>
      </c>
      <c r="E75" s="233">
        <f>Inputs!E92</f>
        <v>65301</v>
      </c>
      <c r="F75" s="157">
        <f>E75/E74</f>
        <v>0.69462498271442097</v>
      </c>
      <c r="H75" s="233">
        <f>Inputs!F92</f>
        <v>65301</v>
      </c>
      <c r="I75" s="157">
        <f>H75/$H$74</f>
        <v>0.69462498271442097</v>
      </c>
      <c r="K75" s="24"/>
    </row>
    <row r="76" spans="1:11" ht="15" customHeight="1" x14ac:dyDescent="0.4">
      <c r="B76" s="35" t="s">
        <v>91</v>
      </c>
      <c r="C76" s="158">
        <f>C74-C75</f>
        <v>28708</v>
      </c>
      <c r="D76" s="205"/>
      <c r="E76" s="159">
        <f>E74-E75</f>
        <v>28708</v>
      </c>
      <c r="F76" s="205"/>
      <c r="H76" s="159">
        <f>H74-H75</f>
        <v>28708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14206</v>
      </c>
      <c r="D77" s="156">
        <f>C77/$C$74</f>
        <v>0.15111319129019563</v>
      </c>
      <c r="E77" s="233">
        <f>Inputs!E93</f>
        <v>14206</v>
      </c>
      <c r="F77" s="157">
        <f>E77/E74</f>
        <v>0.15111319129019563</v>
      </c>
      <c r="H77" s="233">
        <f>Inputs!F93</f>
        <v>14206</v>
      </c>
      <c r="I77" s="157">
        <f>H77/$H$74</f>
        <v>0.15111319129019563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14502</v>
      </c>
      <c r="D79" s="253">
        <f>C79/C74</f>
        <v>0.15426182599538343</v>
      </c>
      <c r="E79" s="254">
        <f>E76-E77-E78</f>
        <v>14502</v>
      </c>
      <c r="F79" s="253">
        <f>E79/E74</f>
        <v>0.15426182599538343</v>
      </c>
      <c r="G79" s="255"/>
      <c r="H79" s="254">
        <f>H76-H77-H78</f>
        <v>14502</v>
      </c>
      <c r="I79" s="253">
        <f>H79/H74</f>
        <v>0.15426182599538343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2827</v>
      </c>
      <c r="D81" s="156">
        <f>C81/$C$74</f>
        <v>3.0071588890425386E-2</v>
      </c>
      <c r="E81" s="177">
        <f>E74*F81</f>
        <v>2827</v>
      </c>
      <c r="F81" s="157">
        <f>I81</f>
        <v>3.0071588890425386E-2</v>
      </c>
      <c r="H81" s="233">
        <f>Inputs!F94</f>
        <v>2827</v>
      </c>
      <c r="I81" s="157">
        <f>H81/$H$74</f>
        <v>3.0071588890425386E-2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11675</v>
      </c>
      <c r="D83" s="161">
        <f>C83/$C$74</f>
        <v>0.12419023710495804</v>
      </c>
      <c r="E83" s="162">
        <f>E79-E81-E82-E80</f>
        <v>11675</v>
      </c>
      <c r="F83" s="161">
        <f>E83/E74</f>
        <v>0.12419023710495804</v>
      </c>
      <c r="H83" s="162">
        <f>H79-H81-H82-H80</f>
        <v>11675</v>
      </c>
      <c r="I83" s="161">
        <f>H83/$H$74</f>
        <v>0.12419023710495804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8756.25</v>
      </c>
      <c r="D85" s="253">
        <f>C85/$C$74</f>
        <v>9.3142677828718531E-2</v>
      </c>
      <c r="E85" s="259">
        <f>E83*(1-F84)</f>
        <v>8756.25</v>
      </c>
      <c r="F85" s="253">
        <f>E85/E74</f>
        <v>9.3142677828718531E-2</v>
      </c>
      <c r="G85" s="255"/>
      <c r="H85" s="259">
        <f>H83*(1-I84)</f>
        <v>8756.25</v>
      </c>
      <c r="I85" s="253">
        <f>H85/$H$74</f>
        <v>9.3142677828718531E-2</v>
      </c>
      <c r="K85" s="24"/>
    </row>
    <row r="86" spans="1:11" ht="15" customHeight="1" x14ac:dyDescent="0.4">
      <c r="B86" s="86" t="s">
        <v>151</v>
      </c>
      <c r="C86" s="164">
        <f>C85*Data!C4/Common_Shares</f>
        <v>4.9749025993220654E-2</v>
      </c>
      <c r="D86" s="204"/>
      <c r="E86" s="165">
        <f>E85*Data!C4/Common_Shares</f>
        <v>4.9749025993220654E-2</v>
      </c>
      <c r="F86" s="204"/>
      <c r="H86" s="165">
        <f>H85*Data!C4/Common_Shares</f>
        <v>4.9749025993220654E-2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4.7335814652738686E-2</v>
      </c>
      <c r="D87" s="204"/>
      <c r="E87" s="257">
        <f>E86*Exchange_Rate/Dashboard!G3</f>
        <v>4.7335814652738686E-2</v>
      </c>
      <c r="F87" s="204"/>
      <c r="H87" s="257">
        <f>H86*Exchange_Rate/Dashboard!G3</f>
        <v>4.7335814652738686E-2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4.829E-2</v>
      </c>
      <c r="D88" s="163">
        <f>C88/C86</f>
        <v>0.97067227017832514</v>
      </c>
      <c r="E88" s="167">
        <f>Inputs!E98</f>
        <v>4.829E-2</v>
      </c>
      <c r="F88" s="163">
        <f>E88/E86</f>
        <v>0.97067227017832514</v>
      </c>
      <c r="H88" s="167">
        <f>Inputs!F98</f>
        <v>4.829E-2</v>
      </c>
      <c r="I88" s="163">
        <f>H88/H86</f>
        <v>0.97067227017832514</v>
      </c>
      <c r="K88" s="24"/>
    </row>
    <row r="89" spans="1:11" ht="15" customHeight="1" x14ac:dyDescent="0.4">
      <c r="B89" s="86" t="s">
        <v>205</v>
      </c>
      <c r="C89" s="256">
        <f>C88*Exchange_Rate/Dashboard!G3</f>
        <v>4.5947562669714288E-2</v>
      </c>
      <c r="D89" s="204"/>
      <c r="E89" s="256">
        <f>E88*Exchange_Rate/Dashboard!G3</f>
        <v>4.5947562669714288E-2</v>
      </c>
      <c r="F89" s="204"/>
      <c r="H89" s="256">
        <f>H88*Exchange_Rate/Dashboard!G3</f>
        <v>4.5947562669714288E-2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1.0084439627746544</v>
      </c>
      <c r="H93" s="86" t="s">
        <v>194</v>
      </c>
      <c r="I93" s="142">
        <f>FV(H87,D93,0,-(H86/(C93-D94)))*Exchange_Rate</f>
        <v>1.0084439627746544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0.97239827569831261</v>
      </c>
      <c r="H94" s="86" t="s">
        <v>195</v>
      </c>
      <c r="I94" s="142">
        <f>FV(H89,D93,0,-(H88/(C93-D94)))*Exchange_Rate</f>
        <v>0.97239827569831261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88246.225535886115</v>
      </c>
      <c r="D97" s="208"/>
      <c r="E97" s="121">
        <f>PV(C94,D93,0,-F93)</f>
        <v>0.50137487714357287</v>
      </c>
      <c r="F97" s="208"/>
      <c r="H97" s="121">
        <f>PV(C94,D93,0,-I93)</f>
        <v>0.50137487714357287</v>
      </c>
      <c r="I97" s="121">
        <f>PV(C93,D93,0,-I93)</f>
        <v>0.66681110368807162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88246.225535886115</v>
      </c>
      <c r="D100" s="108">
        <f>MIN(F100*(1-C94),E100)</f>
        <v>0.42616864557203693</v>
      </c>
      <c r="E100" s="108">
        <f>MAX(E97+H98+E99,0)</f>
        <v>0.50137487714357287</v>
      </c>
      <c r="F100" s="108">
        <f>(E100+H100)/2</f>
        <v>0.50137487714357287</v>
      </c>
      <c r="H100" s="108">
        <f>MAX(C100*Data!$C$4/Common_Shares,0)</f>
        <v>0.50137487714357287</v>
      </c>
      <c r="I100" s="108">
        <f>MAX(I97+H98+H99,0)</f>
        <v>0.66681110368807162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85091.96417010545</v>
      </c>
      <c r="D103" s="108">
        <f>MIN(F103*(1-C94),E103)</f>
        <v>0.41093573010316742</v>
      </c>
      <c r="E103" s="121">
        <f>PV(C94,D93,0,-F94)</f>
        <v>0.48345380012137346</v>
      </c>
      <c r="F103" s="108">
        <f>(E103+H103)/2</f>
        <v>0.48345380012137346</v>
      </c>
      <c r="H103" s="121">
        <f>PV(C94,D93,0,-I94)</f>
        <v>0.48345380012137346</v>
      </c>
      <c r="I103" s="108">
        <f>PV(C93,D93,0,-I94)</f>
        <v>0.64297669615546249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86669.094852995782</v>
      </c>
      <c r="D106" s="108">
        <f>(D100+D103)/2</f>
        <v>0.41855218783760217</v>
      </c>
      <c r="E106" s="121">
        <f>(E100+E103)/2</f>
        <v>0.49241433863247319</v>
      </c>
      <c r="F106" s="108">
        <f>(F100+F103)/2</f>
        <v>0.49241433863247319</v>
      </c>
      <c r="H106" s="121">
        <f>(H100+H103)/2</f>
        <v>0.49241433863247319</v>
      </c>
      <c r="I106" s="121">
        <f>(I100+I103)/2</f>
        <v>0.65489389992176705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