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20D5FA2-4475-4517-B3C0-1A94E638F5F5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B47" i="4"/>
  <c r="C49" i="3"/>
  <c r="F56" i="2"/>
  <c r="I56" i="2"/>
  <c r="C56" i="2"/>
  <c r="D4" i="3"/>
  <c r="D3" i="3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5" i="4" l="1"/>
  <c r="F96" i="4"/>
  <c r="F97" i="4"/>
  <c r="D53" i="4"/>
  <c r="J27" i="2"/>
  <c r="G56" i="2"/>
  <c r="M56" i="2"/>
  <c r="E56" i="2"/>
  <c r="L56" i="2"/>
  <c r="D56" i="2"/>
  <c r="K56" i="2"/>
  <c r="I3" i="3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<sst xmlns="http://schemas.openxmlformats.org/spreadsheetml/2006/main" count="392" uniqueCount="277">
  <si>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</si>
  <si>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</si>
  <si>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</si>
  <si>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</si>
  <si>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</si>
  <si>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</si>
  <si>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</si>
  <si>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</si>
  <si>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</si>
  <si>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</si>
  <si>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</si>
  <si>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</si>
  <si>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</si>
  <si>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</si>
  <si>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</si>
  <si>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</si>
  <si>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</si>
  <si>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</si>
  <si>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</si>
  <si>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</si>
  <si>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</si>
  <si>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</si>
  <si>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</si>
  <si>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</si>
  <si>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</si>
  <si>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</si>
  <si>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</si>
  <si>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</si>
  <si>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</si>
  <si>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</si>
  <si>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</si>
  <si>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</si>
  <si>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</si>
  <si>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</si>
  <si>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</si>
  <si>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</si>
  <si>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</si>
  <si>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</si>
  <si>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</si>
  <si>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</si>
  <si>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</si>
  <si>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</si>
  <si>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</si>
  <si>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</si>
  <si>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</si>
  <si>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</si>
  <si>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</si>
  <si>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</si>
  <si>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</si>
  <si>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</si>
  <si>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</si>
  <si>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</si>
  <si>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</si>
  <si>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</si>
  <si>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</si>
  <si>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</si>
  <si>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</si>
  <si>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</si>
  <si>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</si>
  <si>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</si>
  <si>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</si>
  <si>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</si>
  <si>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</si>
  <si>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</si>
  <si>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</si>
  <si>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</si>
  <si>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</si>
  <si>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</si>
  <si>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</si>
  <si>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</si>
  <si>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</si>
  <si>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</si>
  <si>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</si>
  <si>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</si>
  <si>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</si>
  <si>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</si>
  <si>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</si>
  <si>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</si>
  <si>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</si>
  <si>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</si>
  <si>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</si>
  <si>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</si>
  <si>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</si>
  <si>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</si>
  <si>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</si>
  <si>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</si>
  <si>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</si>
  <si>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</si>
  <si>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</si>
  <si>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</si>
  <si>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</si>
  <si>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</si>
  <si>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</si>
  <si>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</si>
  <si>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</si>
  <si>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</si>
  <si>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</si>
  <si>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</si>
  <si>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</si>
  <si>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</si>
  <si>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</si>
  <si>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</si>
  <si>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</si>
  <si>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</si>
  <si>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</si>
  <si>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</si>
  <si>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</si>
  <si>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</si>
  <si>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</si>
  <si>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</si>
  <si>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</si>
  <si>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</si>
  <si>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</si>
  <si>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</si>
  <si>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</si>
  <si>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</si>
  <si>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</si>
  <si>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</si>
  <si>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</si>
  <si>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</si>
  <si>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</si>
  <si>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</si>
  <si>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</si>
  <si>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</si>
  <si>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</si>
  <si>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</si>
  <si>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</si>
  <si>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</si>
  <si>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</si>
  <si>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</si>
  <si>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</si>
  <si>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</si>
  <si>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</si>
  <si>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</si>
  <si>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</si>
  <si>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</si>
  <si>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</si>
  <si>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</si>
  <si>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</si>
  <si>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</si>
  <si>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</si>
  <si>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</si>
  <si>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</si>
  <si>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</si>
  <si>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</si>
  <si>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</si>
  <si>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</si>
  <si>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</si>
  <si>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</si>
  <si>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</si>
  <si>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</si>
  <si>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</si>
  <si>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</si>
  <si>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</si>
  <si>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</si>
  <si>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</si>
  <si>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</si>
  <si>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</si>
  <si>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</si>
  <si>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</si>
  <si>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</si>
  <si>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</si>
  <si>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</si>
  <si>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</si>
  <si>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</si>
  <si>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</si>
  <si>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</si>
  <si>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</si>
  <si>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</si>
  <si>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</si>
  <si>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</si>
  <si>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</si>
  <si>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</si>
  <si>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</si>
  <si>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</si>
  <si>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</si>
  <si>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</si>
  <si>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</si>
  <si>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</si>
  <si>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</si>
  <si>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</si>
  <si>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</si>
  <si>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</si>
  <si>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</si>
  <si>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</si>
  <si>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</si>
  <si>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</si>
  <si>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</si>
  <si>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</si>
  <si>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</si>
  <si>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</si>
  <si>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</si>
  <si>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</si>
  <si>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</si>
  <si>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</si>
  <si>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</si>
  <si>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</si>
  <si>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</si>
  <si>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</si>
  <si>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</si>
  <si>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</si>
  <si>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</si>
  <si>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</si>
  <si>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</si>
  <si>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</si>
  <si>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</si>
  <si>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</si>
  <si>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</si>
  <si>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</si>
  <si>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</si>
  <si>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</si>
  <si>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</si>
  <si>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</si>
  <si>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</si>
  <si>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</si>
  <si>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</si>
  <si>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</si>
  <si>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</si>
  <si>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</si>
  <si>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</si>
  <si>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</si>
  <si>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</si>
  <si>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</si>
  <si>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</si>
  <si>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</si>
  <si>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</si>
  <si>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</si>
  <si>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</si>
  <si>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</si>
  <si>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</si>
  <si>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</si>
  <si>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</si>
  <si>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</si>
  <si>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</si>
  <si>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</si>
  <si>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</si>
  <si>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</si>
  <si>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</si>
  <si>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</si>
  <si>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</si>
  <si>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</si>
  <si>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</si>
  <si>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</si>
  <si>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</si>
  <si>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</si>
  <si>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</si>
  <si>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</si>
  <si>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</si>
  <si>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</si>
  <si>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</si>
  <si>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</si>
  <si>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</si>
  <si>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</si>
  <si>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</si>
  <si>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</si>
  <si>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</si>
  <si>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</si>
  <si>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</si>
  <si>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</si>
  <si>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</si>
  <si>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</si>
  <si>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</si>
  <si>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</si>
  <si>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</si>
  <si>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</si>
  <si>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</si>
  <si>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</si>
  <si>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1288.HK</t>
  </si>
  <si>
    <t>农业银行</t>
  </si>
  <si>
    <t xml:space="preserve">Superior Cycl. </t>
  </si>
  <si>
    <t>C0014</t>
  </si>
  <si>
    <t>CNY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</si>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</sst>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199</v>
      </c>
    </row>
    <row r="4" spans="1:5" ht="13.9" x14ac:dyDescent="0.4">
      <c r="B4" s="139" t="s">
        <v>179</v>
      </c>
      <c r="C4" s="185" t="s">
        <v>267</v>
      </c>
    </row>
    <row r="5" spans="1:5" ht="13.9" x14ac:dyDescent="0.4">
      <c r="B5" s="139" t="s">
        <v>180</v>
      </c>
      <c r="C5" s="188" t="s">
        <v>268</v>
      </c>
    </row>
    <row r="6" spans="1:5" ht="13.9" x14ac:dyDescent="0.4">
      <c r="B6" s="139" t="s">
        <v>154</v>
      </c>
      <c r="C6" s="186">
        <v>45593</v>
      </c>
    </row>
    <row r="7" spans="1:5" ht="13.9" x14ac:dyDescent="0.4">
      <c r="B7" s="138" t="s">
        <v>3</v>
      </c>
      <c r="C7" s="187">
        <v>8</v>
      </c>
    </row>
    <row r="8" spans="1:5" ht="13.9" x14ac:dyDescent="0.4">
      <c r="B8" s="138" t="s">
        <v>200</v>
      </c>
      <c r="C8" s="188" t="s">
        <v>269</v>
      </c>
      <c r="E8" s="262"/>
    </row>
    <row r="9" spans="1:5" ht="13.9" x14ac:dyDescent="0.4">
      <c r="B9" s="138" t="s">
        <v>201</v>
      </c>
      <c r="C9" s="189" t="s">
        <v>270</v>
      </c>
    </row>
    <row r="10" spans="1:5" ht="13.9" x14ac:dyDescent="0.4">
      <c r="B10" s="138" t="s">
        <v>202</v>
      </c>
      <c r="C10" s="190">
        <v>349983033873</v>
      </c>
    </row>
    <row r="11" spans="1:5" ht="13.9" x14ac:dyDescent="0.4">
      <c r="B11" s="138" t="s">
        <v>203</v>
      </c>
      <c r="C11" s="189" t="s">
        <v>271</v>
      </c>
    </row>
    <row r="12" spans="1:5" ht="13.9" x14ac:dyDescent="0.4">
      <c r="B12" s="213" t="s">
        <v>9</v>
      </c>
      <c r="C12" s="214">
        <v>45291</v>
      </c>
    </row>
    <row r="13" spans="1:5" ht="13.9" x14ac:dyDescent="0.4">
      <c r="B13" s="213" t="s">
        <v>10</v>
      </c>
      <c r="C13" s="215">
        <v>1000000</v>
      </c>
    </row>
    <row r="14" spans="1:5" ht="13.9" x14ac:dyDescent="0.4">
      <c r="B14" s="213" t="s">
        <v>204</v>
      </c>
      <c r="C14" s="214">
        <v>45473</v>
      </c>
    </row>
    <row r="15" spans="1:5" ht="13.9" x14ac:dyDescent="0.4">
      <c r="B15" s="213" t="s">
        <v>234</v>
      </c>
      <c r="C15" s="173" t="s">
        <v>238</v>
      </c>
    </row>
    <row r="16" spans="1:5" ht="13.9" x14ac:dyDescent="0.4">
      <c r="B16" s="217" t="s">
        <v>92</v>
      </c>
      <c r="C16" s="218">
        <v>0.25</v>
      </c>
      <c r="D16" s="24"/>
      <c r="E16" s="109" t="s">
        <v>266</v>
      </c>
    </row>
    <row r="17" spans="2:13" ht="13.9" x14ac:dyDescent="0.4">
      <c r="B17" s="235" t="s">
        <v>208</v>
      </c>
      <c r="C17" s="237" t="s">
        <v>272</v>
      </c>
      <c r="D17" s="24"/>
    </row>
    <row r="18" spans="2:13" ht="13.9" x14ac:dyDescent="0.4">
      <c r="B18" s="235" t="s">
        <v>222</v>
      </c>
      <c r="C18" s="237" t="s">
        <v>273</v>
      </c>
      <c r="D18" s="24"/>
    </row>
    <row r="19" spans="2:13" ht="13.9" x14ac:dyDescent="0.4">
      <c r="B19" s="235" t="s">
        <v>223</v>
      </c>
      <c r="C19" s="237" t="s">
        <v>273</v>
      </c>
      <c r="D19" s="24"/>
    </row>
    <row r="20" spans="2:13" ht="13.9" x14ac:dyDescent="0.4">
      <c r="B20" s="236" t="s">
        <v>212</v>
      </c>
      <c r="C20" s="237" t="s">
        <v>273</v>
      </c>
      <c r="D20" s="24"/>
    </row>
    <row r="21" spans="2:13" ht="13.9" x14ac:dyDescent="0.4">
      <c r="B21" s="219" t="s">
        <v>215</v>
      </c>
      <c r="C21" s="237" t="s">
        <v>272</v>
      </c>
      <c r="D21" s="24"/>
    </row>
    <row r="22" spans="2:13" ht="78.75" x14ac:dyDescent="0.4">
      <c r="B22" s="221" t="s">
        <v>214</v>
      </c>
      <c r="C22" s="238" t="s">
        <v>274</v>
      </c>
      <c r="D22" s="24"/>
    </row>
    <row r="24" spans="2:13" ht="13.9" x14ac:dyDescent="0.4">
      <c r="B24" s="114" t="s">
        <v>127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11</v>
      </c>
      <c r="C25" s="147">
        <v>1318408</v>
      </c>
      <c r="D25" s="147">
        <v>1203982</v>
      </c>
      <c r="E25" s="147"/>
      <c r="F25" s="147"/>
      <c r="G25" s="147"/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101</v>
      </c>
      <c r="C26" s="148">
        <v>150324</v>
      </c>
      <c r="D26" s="148">
        <v>159502</v>
      </c>
      <c r="E26" s="148"/>
      <c r="F26" s="148"/>
      <c r="G26" s="148"/>
      <c r="H26" s="148"/>
      <c r="I26" s="148"/>
      <c r="J26" s="148"/>
      <c r="K26" s="148"/>
      <c r="L26" s="148"/>
      <c r="M26" s="148"/>
    </row>
    <row r="27" spans="2:13" ht="13.9" x14ac:dyDescent="0.4">
      <c r="B27" s="96" t="s">
        <v>99</v>
      </c>
      <c r="C27" s="148">
        <v>252305</v>
      </c>
      <c r="D27" s="148">
        <v>243571</v>
      </c>
      <c r="E27" s="148"/>
      <c r="F27" s="148"/>
      <c r="G27" s="148"/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102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235</v>
      </c>
      <c r="C29" s="148">
        <v>651948</v>
      </c>
      <c r="D29" s="148">
        <v>518581</v>
      </c>
      <c r="E29" s="148"/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106</v>
      </c>
      <c r="C30" s="148">
        <v>464</v>
      </c>
      <c r="D30" s="148">
        <v>-366</v>
      </c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105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100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103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258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111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140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257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263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16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17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131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130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192</v>
      </c>
      <c r="C44" s="245">
        <f>0.2309+0.1164</f>
        <v>0.3473</v>
      </c>
      <c r="D44" s="245"/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231</v>
      </c>
      <c r="C45" s="150">
        <f>IF(C44="","",C44*Exchange_Rate/Dashboard!$G$3)</f>
        <v>8.854250355960841E-2</v>
      </c>
      <c r="D45" s="150" t="str">
        <f>IF(D44="","",D44*Exchange_Rate/Dashboard!$G$3)</f>
        <v/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29</v>
      </c>
      <c r="D47" s="191" t="s">
        <v>181</v>
      </c>
      <c r="E47" s="110" t="s">
        <v>31</v>
      </c>
    </row>
    <row r="48" spans="2:13" ht="13.9" x14ac:dyDescent="0.4">
      <c r="B48" s="3" t="s">
        <v>33</v>
      </c>
      <c r="C48" s="59"/>
      <c r="D48" s="60">
        <v>0.9</v>
      </c>
      <c r="E48" s="111"/>
    </row>
    <row r="49" spans="2:5" ht="13.9" x14ac:dyDescent="0.4">
      <c r="B49" s="1" t="s">
        <v>129</v>
      </c>
      <c r="C49" s="59"/>
      <c r="D49" s="60">
        <v>0.8</v>
      </c>
      <c r="E49" s="111"/>
    </row>
    <row r="50" spans="2:5" ht="13.9" x14ac:dyDescent="0.4">
      <c r="B50" s="3" t="s">
        <v>111</v>
      </c>
      <c r="C50" s="59"/>
      <c r="D50" s="60">
        <f>D51</f>
        <v>0.6</v>
      </c>
      <c r="E50" s="111"/>
    </row>
    <row r="51" spans="2:5" ht="13.9" x14ac:dyDescent="0.4">
      <c r="B51" s="3" t="s">
        <v>37</v>
      </c>
      <c r="C51" s="59"/>
      <c r="D51" s="60">
        <v>0.6</v>
      </c>
      <c r="E51" s="111"/>
    </row>
    <row r="52" spans="2:5" ht="13.9" x14ac:dyDescent="0.4">
      <c r="B52" s="3" t="s">
        <v>39</v>
      </c>
      <c r="C52" s="59"/>
      <c r="D52" s="60">
        <v>0.5</v>
      </c>
      <c r="E52" s="111"/>
    </row>
    <row r="53" spans="2:5" ht="13.9" x14ac:dyDescent="0.4">
      <c r="B53" s="1" t="s">
        <v>149</v>
      </c>
      <c r="C53" s="59"/>
      <c r="D53" s="60">
        <f>D50</f>
        <v>0.6</v>
      </c>
      <c r="E53" s="111"/>
    </row>
    <row r="54" spans="2:5" ht="13.9" x14ac:dyDescent="0.4">
      <c r="B54" s="3" t="s">
        <v>240</v>
      </c>
      <c r="C54" s="59"/>
      <c r="D54" s="60">
        <v>0.1</v>
      </c>
      <c r="E54" s="111"/>
    </row>
    <row r="55" spans="2:5" ht="13.9" x14ac:dyDescent="0.4">
      <c r="B55" s="3" t="s">
        <v>42</v>
      </c>
      <c r="C55" s="59"/>
      <c r="D55" s="60">
        <f>D52</f>
        <v>0.5</v>
      </c>
      <c r="E55" s="111"/>
    </row>
    <row r="56" spans="2:5" ht="13.9" x14ac:dyDescent="0.4">
      <c r="B56" s="1" t="s">
        <v>43</v>
      </c>
      <c r="C56" s="59"/>
      <c r="D56" s="60">
        <f>D50</f>
        <v>0.6</v>
      </c>
      <c r="E56" s="216" t="s">
        <v>66</v>
      </c>
    </row>
    <row r="57" spans="2:5" ht="13.9" x14ac:dyDescent="0.4">
      <c r="B57" s="3" t="s">
        <v>114</v>
      </c>
      <c r="C57" s="59"/>
      <c r="D57" s="60">
        <v>0.6</v>
      </c>
      <c r="E57" s="216" t="s">
        <v>41</v>
      </c>
    </row>
    <row r="58" spans="2:5" ht="13.9" x14ac:dyDescent="0.4">
      <c r="B58" s="3" t="s">
        <v>45</v>
      </c>
      <c r="C58" s="59"/>
      <c r="D58" s="60">
        <f>D48</f>
        <v>0.9</v>
      </c>
      <c r="E58" s="111"/>
    </row>
    <row r="59" spans="2:5" ht="13.9" x14ac:dyDescent="0.4">
      <c r="B59" s="35" t="s">
        <v>46</v>
      </c>
      <c r="C59" s="118"/>
      <c r="D59" s="192">
        <f>D70</f>
        <v>0.05</v>
      </c>
      <c r="E59" s="111"/>
    </row>
    <row r="60" spans="2:5" ht="13.9" x14ac:dyDescent="0.4">
      <c r="B60" s="3" t="s">
        <v>56</v>
      </c>
      <c r="C60" s="59"/>
      <c r="D60" s="60">
        <f>D49</f>
        <v>0.8</v>
      </c>
      <c r="E60" s="111"/>
    </row>
    <row r="61" spans="2:5" ht="13.9" x14ac:dyDescent="0.4">
      <c r="B61" s="3" t="s">
        <v>58</v>
      </c>
      <c r="C61" s="59"/>
      <c r="D61" s="60">
        <f>D51</f>
        <v>0.6</v>
      </c>
      <c r="E61" s="111"/>
    </row>
    <row r="62" spans="2:5" ht="13.9" x14ac:dyDescent="0.4">
      <c r="B62" s="3" t="s">
        <v>60</v>
      </c>
      <c r="C62" s="59"/>
      <c r="D62" s="60">
        <f>D52</f>
        <v>0.5</v>
      </c>
      <c r="E62" s="111"/>
    </row>
    <row r="63" spans="2:5" ht="13.9" x14ac:dyDescent="0.4">
      <c r="B63" s="1" t="s">
        <v>150</v>
      </c>
      <c r="C63" s="59"/>
      <c r="D63" s="60">
        <f>D62</f>
        <v>0.5</v>
      </c>
      <c r="E63" s="111"/>
    </row>
    <row r="64" spans="2:5" ht="13.9" x14ac:dyDescent="0.4">
      <c r="B64" s="3" t="s">
        <v>239</v>
      </c>
      <c r="C64" s="59"/>
      <c r="D64" s="60">
        <v>0.4</v>
      </c>
      <c r="E64" s="111"/>
    </row>
    <row r="65" spans="2:5" ht="13.9" x14ac:dyDescent="0.4">
      <c r="B65" s="3" t="s">
        <v>65</v>
      </c>
      <c r="C65" s="59"/>
      <c r="D65" s="60">
        <v>0.1</v>
      </c>
      <c r="E65" s="216" t="s">
        <v>66</v>
      </c>
    </row>
    <row r="66" spans="2:5" ht="13.9" x14ac:dyDescent="0.4">
      <c r="B66" s="3" t="s">
        <v>67</v>
      </c>
      <c r="C66" s="59"/>
      <c r="D66" s="60">
        <v>0.2</v>
      </c>
      <c r="E66" s="216" t="s">
        <v>66</v>
      </c>
    </row>
    <row r="67" spans="2:5" ht="13.9" x14ac:dyDescent="0.4">
      <c r="B67" s="1" t="s">
        <v>44</v>
      </c>
      <c r="C67" s="59"/>
      <c r="D67" s="60">
        <f>D65</f>
        <v>0.1</v>
      </c>
      <c r="E67" s="216" t="s">
        <v>41</v>
      </c>
    </row>
    <row r="68" spans="2:5" ht="13.9" x14ac:dyDescent="0.4">
      <c r="B68" s="3" t="s">
        <v>113</v>
      </c>
      <c r="C68" s="59"/>
      <c r="D68" s="60">
        <f>D65</f>
        <v>0.1</v>
      </c>
      <c r="E68" s="111"/>
    </row>
    <row r="69" spans="2:5" ht="13.9" x14ac:dyDescent="0.4">
      <c r="B69" s="3" t="s">
        <v>68</v>
      </c>
      <c r="C69" s="59"/>
      <c r="D69" s="60">
        <f>D70</f>
        <v>0.05</v>
      </c>
      <c r="E69" s="111"/>
    </row>
    <row r="70" spans="2:5" ht="13.9" x14ac:dyDescent="0.4">
      <c r="B70" s="3" t="s">
        <v>69</v>
      </c>
      <c r="C70" s="59"/>
      <c r="D70" s="60">
        <v>0.05</v>
      </c>
      <c r="E70" s="111"/>
    </row>
    <row r="71" spans="2:5" ht="13.9" x14ac:dyDescent="0.4">
      <c r="B71" s="3" t="s">
        <v>70</v>
      </c>
      <c r="C71" s="59"/>
      <c r="D71" s="60">
        <f>D58</f>
        <v>0.9</v>
      </c>
      <c r="E71" s="111"/>
    </row>
    <row r="72" spans="2:5" ht="14.25" thickBot="1" x14ac:dyDescent="0.45">
      <c r="B72" s="241" t="s">
        <v>71</v>
      </c>
      <c r="C72" s="242"/>
      <c r="D72" s="243">
        <v>0</v>
      </c>
      <c r="E72" s="244"/>
    </row>
    <row r="73" spans="2:5" ht="13.9" x14ac:dyDescent="0.4">
      <c r="B73" s="3" t="s">
        <v>34</v>
      </c>
      <c r="C73" s="59"/>
    </row>
    <row r="74" spans="2:5" ht="13.9" x14ac:dyDescent="0.4">
      <c r="B74" s="3" t="s">
        <v>35</v>
      </c>
      <c r="C74" s="59"/>
    </row>
    <row r="75" spans="2:5" ht="13.9" x14ac:dyDescent="0.4">
      <c r="B75" s="3" t="s">
        <v>36</v>
      </c>
      <c r="C75" s="59"/>
    </row>
    <row r="76" spans="2:5" ht="13.9" x14ac:dyDescent="0.4">
      <c r="B76" s="85" t="s">
        <v>38</v>
      </c>
      <c r="C76" s="118"/>
    </row>
    <row r="77" spans="2:5" ht="14.25" thickBot="1" x14ac:dyDescent="0.45">
      <c r="B77" s="80" t="s">
        <v>15</v>
      </c>
      <c r="C77" s="82"/>
    </row>
    <row r="78" spans="2:5" ht="14.25" thickTop="1" x14ac:dyDescent="0.4">
      <c r="B78" s="3" t="s">
        <v>57</v>
      </c>
      <c r="C78" s="59"/>
    </row>
    <row r="79" spans="2:5" ht="13.9" x14ac:dyDescent="0.4">
      <c r="B79" s="3" t="s">
        <v>59</v>
      </c>
      <c r="C79" s="59"/>
    </row>
    <row r="80" spans="2:5" ht="13.9" x14ac:dyDescent="0.4">
      <c r="B80" s="3" t="s">
        <v>61</v>
      </c>
      <c r="C80" s="59"/>
    </row>
    <row r="81" spans="2:8" ht="13.9" x14ac:dyDescent="0.4">
      <c r="B81" s="85" t="s">
        <v>62</v>
      </c>
      <c r="C81" s="118"/>
    </row>
    <row r="82" spans="2:8" ht="14.25" hidden="1" thickBot="1" x14ac:dyDescent="0.45">
      <c r="B82" s="80" t="s">
        <v>261</v>
      </c>
      <c r="C82" s="212"/>
    </row>
    <row r="83" spans="2:8" ht="14.25" hidden="1" thickTop="1" x14ac:dyDescent="0.4">
      <c r="B83" s="73" t="s">
        <v>262</v>
      </c>
      <c r="C83" s="212"/>
    </row>
    <row r="84" spans="2:8" ht="13.9" x14ac:dyDescent="0.4">
      <c r="B84" s="20" t="s">
        <v>86</v>
      </c>
      <c r="C84" s="59"/>
    </row>
    <row r="85" spans="2:8" ht="13.9" x14ac:dyDescent="0.4">
      <c r="B85" s="20" t="s">
        <v>88</v>
      </c>
      <c r="C85" s="59"/>
    </row>
    <row r="86" spans="2:8" ht="13.9" x14ac:dyDescent="0.4">
      <c r="B86" s="10" t="s">
        <v>230</v>
      </c>
      <c r="C86" s="194">
        <v>5</v>
      </c>
    </row>
    <row r="87" spans="2:8" ht="13.9" x14ac:dyDescent="0.4">
      <c r="B87" s="10" t="s">
        <v>229</v>
      </c>
      <c r="C87" s="231" t="s">
        <v>275</v>
      </c>
      <c r="D87" s="264">
        <v>0.02</v>
      </c>
    </row>
    <row r="89" spans="2:8" ht="13.5" x14ac:dyDescent="0.35">
      <c r="B89" s="105" t="s">
        <v>121</v>
      </c>
      <c r="C89" s="284">
        <f>C24</f>
        <v>45291</v>
      </c>
      <c r="D89" s="284"/>
      <c r="E89" s="88" t="s">
        <v>191</v>
      </c>
      <c r="F89" s="88" t="s">
        <v>190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85" t="s">
        <v>96</v>
      </c>
      <c r="D90" s="285"/>
      <c r="E90" s="230" t="s">
        <v>97</v>
      </c>
      <c r="F90" s="250" t="s">
        <v>97</v>
      </c>
    </row>
    <row r="91" spans="2:8" ht="13.9" x14ac:dyDescent="0.4">
      <c r="B91" s="3" t="s">
        <v>120</v>
      </c>
      <c r="C91" s="77">
        <f>C25</f>
        <v>1318408</v>
      </c>
      <c r="D91" s="204"/>
      <c r="E91" s="246">
        <f>C91</f>
        <v>1318408</v>
      </c>
      <c r="F91" s="246">
        <f>C91</f>
        <v>1318408</v>
      </c>
    </row>
    <row r="92" spans="2:8" ht="13.9" x14ac:dyDescent="0.4">
      <c r="B92" s="103" t="s">
        <v>101</v>
      </c>
      <c r="C92" s="77">
        <f>C26</f>
        <v>150324</v>
      </c>
      <c r="D92" s="156">
        <f>C92/C91</f>
        <v>0.11401933240696355</v>
      </c>
      <c r="E92" s="247">
        <f>E91*D92</f>
        <v>150324</v>
      </c>
      <c r="F92" s="247">
        <f>F91*D92</f>
        <v>150324</v>
      </c>
    </row>
    <row r="93" spans="2:8" ht="13.9" x14ac:dyDescent="0.4">
      <c r="B93" s="103" t="s">
        <v>228</v>
      </c>
      <c r="C93" s="77">
        <f>C27+C28</f>
        <v>252305</v>
      </c>
      <c r="D93" s="156">
        <f>C93/C91</f>
        <v>0.19137095648691452</v>
      </c>
      <c r="E93" s="247">
        <f>E91*D93</f>
        <v>252305</v>
      </c>
      <c r="F93" s="247">
        <f>F91*D93</f>
        <v>252305</v>
      </c>
    </row>
    <row r="94" spans="2:8" ht="13.9" x14ac:dyDescent="0.4">
      <c r="B94" s="103" t="s">
        <v>235</v>
      </c>
      <c r="C94" s="77">
        <f>C29</f>
        <v>651948</v>
      </c>
      <c r="D94" s="156">
        <f>C94/C91</f>
        <v>0.49449639261897682</v>
      </c>
      <c r="E94" s="248"/>
      <c r="F94" s="247">
        <f>F91*D94</f>
        <v>651948</v>
      </c>
    </row>
    <row r="95" spans="2:8" ht="13.9" x14ac:dyDescent="0.4">
      <c r="B95" s="28" t="s">
        <v>227</v>
      </c>
      <c r="C95" s="77">
        <f>ABS(MAX(C33,0)-C32)</f>
        <v>0</v>
      </c>
      <c r="D95" s="156">
        <f>C95/C91</f>
        <v>0</v>
      </c>
      <c r="E95" s="247">
        <f>E91*D95</f>
        <v>0</v>
      </c>
      <c r="F95" s="247">
        <f>F91*D95</f>
        <v>0</v>
      </c>
    </row>
    <row r="96" spans="2:8" ht="13.9" x14ac:dyDescent="0.4">
      <c r="B96" s="28" t="s">
        <v>105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160</v>
      </c>
      <c r="C97" s="77">
        <f>MAX(C30,0)/(1-C16)</f>
        <v>618.66666666666663</v>
      </c>
      <c r="D97" s="156">
        <f>C97/C91</f>
        <v>4.6925281602255647E-4</v>
      </c>
      <c r="E97" s="248"/>
      <c r="F97" s="247">
        <f>F91*D97</f>
        <v>618.66666666666663</v>
      </c>
    </row>
    <row r="98" spans="2:7" ht="13.9" x14ac:dyDescent="0.4">
      <c r="B98" s="85" t="s">
        <v>192</v>
      </c>
      <c r="C98" s="232">
        <f>C44</f>
        <v>0.3473</v>
      </c>
      <c r="D98" s="261"/>
      <c r="E98" s="249">
        <f>F98</f>
        <v>0.23089999999999999</v>
      </c>
      <c r="F98" s="249">
        <v>0.23089999999999999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1288.HK : 农业银行</v>
      </c>
      <c r="D2" s="86"/>
      <c r="E2" s="7"/>
      <c r="F2" s="7"/>
      <c r="G2" s="85"/>
      <c r="H2" s="85"/>
    </row>
    <row r="3" spans="1:10" ht="15.75" customHeight="1" x14ac:dyDescent="0.4">
      <c r="B3" s="3" t="s">
        <v>179</v>
      </c>
      <c r="C3" s="290" t="str">
        <f>Inputs!C4</f>
        <v>1288.HK</v>
      </c>
      <c r="D3" s="291"/>
      <c r="E3" s="86"/>
      <c r="F3" s="3" t="s">
        <v>1</v>
      </c>
      <c r="G3" s="130">
        <v>4.18</v>
      </c>
      <c r="H3" s="132" t="s">
        <v>276</v>
      </c>
    </row>
    <row r="4" spans="1:10" ht="15.75" customHeight="1" x14ac:dyDescent="0.4">
      <c r="B4" s="35" t="s">
        <v>180</v>
      </c>
      <c r="C4" s="292" t="str">
        <f>Inputs!C5</f>
        <v>农业银行</v>
      </c>
      <c r="D4" s="293"/>
      <c r="E4" s="86"/>
      <c r="F4" s="3" t="s">
        <v>2</v>
      </c>
      <c r="G4" s="296">
        <f>Inputs!C10</f>
        <v>349983033873</v>
      </c>
      <c r="H4" s="296"/>
      <c r="I4" s="39"/>
    </row>
    <row r="5" spans="1:10" ht="15.75" customHeight="1" x14ac:dyDescent="0.4">
      <c r="B5" s="3" t="s">
        <v>154</v>
      </c>
      <c r="C5" s="294">
        <f>Inputs!C6</f>
        <v>45593</v>
      </c>
      <c r="D5" s="295"/>
      <c r="E5" s="34"/>
      <c r="F5" s="35" t="s">
        <v>95</v>
      </c>
      <c r="G5" s="288">
        <f>G3*G4/1000000</f>
        <v>1462929.08158914</v>
      </c>
      <c r="H5" s="288"/>
      <c r="I5" s="38"/>
      <c r="J5" s="28"/>
    </row>
    <row r="6" spans="1:10" ht="15.75" customHeight="1" x14ac:dyDescent="0.4">
      <c r="B6" s="86" t="s">
        <v>3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9" t="str">
        <f>Inputs!C11</f>
        <v>CNY</v>
      </c>
      <c r="H6" s="289"/>
      <c r="I6" s="38"/>
    </row>
    <row r="7" spans="1:10" ht="15.75" customHeight="1" x14ac:dyDescent="0.4">
      <c r="B7" s="85" t="s">
        <v>177</v>
      </c>
      <c r="C7" s="184" t="str">
        <f>Inputs!C8</f>
        <v xml:space="preserve">Superior Cycl. </v>
      </c>
      <c r="D7" s="184" t="str">
        <f>Inputs!C9</f>
        <v>C0014</v>
      </c>
      <c r="E7" s="86"/>
      <c r="F7" s="35" t="s">
        <v>5</v>
      </c>
      <c r="G7" s="131">
        <v>1.0656713644663494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7" t="s">
        <v>176</v>
      </c>
      <c r="F9" s="141" t="s">
        <v>171</v>
      </c>
    </row>
    <row r="10" spans="1:10" ht="15.75" customHeight="1" x14ac:dyDescent="0.4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45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4">
      <c r="B12" s="86" t="s">
        <v>232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4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45">
      <c r="B16" s="120" t="s">
        <v>173</v>
      </c>
      <c r="C16" s="170">
        <v>0.16</v>
      </c>
      <c r="D16" s="260" t="str">
        <f>Inputs!C15</f>
        <v>CN</v>
      </c>
      <c r="F16" s="109" t="s">
        <v>165</v>
      </c>
    </row>
    <row r="17" spans="1:8" ht="15.75" customHeight="1" thickTop="1" x14ac:dyDescent="0.4">
      <c r="B17" s="86" t="s">
        <v>233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256</v>
      </c>
      <c r="C19" s="133" t="s">
        <v>47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45">
      <c r="B20" s="270" t="s">
        <v>247</v>
      </c>
      <c r="C20" s="271" t="e">
        <f>C21*C22*C23</f>
        <v>#DIV/0!</v>
      </c>
      <c r="F20" s="86" t="s">
        <v>196</v>
      </c>
      <c r="G20" s="169">
        <v>0.15</v>
      </c>
    </row>
    <row r="21" spans="1:8" ht="15.75" customHeight="1" thickTop="1" x14ac:dyDescent="0.4">
      <c r="B21" s="272" t="s">
        <v>252</v>
      </c>
      <c r="C21" s="283">
        <f>Data!C13</f>
        <v>0.6941404582900994</v>
      </c>
      <c r="F21" s="86"/>
      <c r="G21" s="29"/>
    </row>
    <row r="22" spans="1:8" ht="15.75" customHeight="1" x14ac:dyDescent="0.4">
      <c r="B22" s="273" t="s">
        <v>259</v>
      </c>
      <c r="C22" s="274" t="e">
        <f>Data!C48</f>
        <v>#DIV/0!</v>
      </c>
      <c r="F22" s="140" t="s">
        <v>170</v>
      </c>
    </row>
    <row r="23" spans="1:8" ht="15.75" customHeight="1" thickBot="1" x14ac:dyDescent="0.45">
      <c r="B23" s="275" t="s">
        <v>265</v>
      </c>
      <c r="C23" s="282" t="e">
        <f>1/Data!C53</f>
        <v>#DIV/0!</v>
      </c>
      <c r="F23" s="138" t="s">
        <v>174</v>
      </c>
      <c r="G23" s="174" t="e">
        <f>G3/(Data!C34*Data!C4/Common_Shares*Exchange_Rate)</f>
        <v>#DIV/0!</v>
      </c>
    </row>
    <row r="24" spans="1:8" ht="15.75" customHeight="1" x14ac:dyDescent="0.4">
      <c r="B24" s="280" t="s">
        <v>253</v>
      </c>
      <c r="C24" s="281">
        <f>Fin_Analysis!I81</f>
        <v>0.49449639261897682</v>
      </c>
      <c r="F24" s="138" t="s">
        <v>237</v>
      </c>
      <c r="G24" s="263">
        <f>G3/(Fin_Analysis!H86*G7)</f>
        <v>6.9539646516585165</v>
      </c>
    </row>
    <row r="25" spans="1:8" ht="15.75" customHeight="1" x14ac:dyDescent="0.4">
      <c r="B25" s="135" t="s">
        <v>254</v>
      </c>
      <c r="C25" s="168">
        <f>Fin_Analysis!I80</f>
        <v>0</v>
      </c>
      <c r="F25" s="138" t="s">
        <v>161</v>
      </c>
      <c r="G25" s="168">
        <f>Fin_Analysis!I88</f>
        <v>0.40935813555482176</v>
      </c>
    </row>
    <row r="26" spans="1:8" ht="15.75" customHeight="1" x14ac:dyDescent="0.4">
      <c r="B26" s="136" t="s">
        <v>255</v>
      </c>
      <c r="C26" s="168">
        <f>Fin_Analysis!I80+Fin_Analysis!I82</f>
        <v>0</v>
      </c>
      <c r="F26" s="139" t="s">
        <v>178</v>
      </c>
      <c r="G26" s="175">
        <f>Fin_Analysis!H88*Exchange_Rate/G3</f>
        <v>5.8866870348153133E-2</v>
      </c>
    </row>
    <row r="27" spans="1:8" ht="15.75" customHeight="1" x14ac:dyDescent="0.4"/>
    <row r="28" spans="1:8" ht="15.75" customHeight="1" x14ac:dyDescent="0.4">
      <c r="A28" s="5"/>
      <c r="B28" s="89" t="s">
        <v>6</v>
      </c>
      <c r="C28" s="88" t="s">
        <v>157</v>
      </c>
      <c r="D28" s="43" t="s">
        <v>158</v>
      </c>
      <c r="E28" s="58"/>
      <c r="F28" s="53" t="s">
        <v>221</v>
      </c>
      <c r="G28" s="286" t="s">
        <v>236</v>
      </c>
      <c r="H28" s="286"/>
    </row>
    <row r="29" spans="1:8" ht="15.75" customHeight="1" x14ac:dyDescent="0.4">
      <c r="B29" s="86" t="s">
        <v>159</v>
      </c>
      <c r="C29" s="128">
        <f>IF(Fin_Analysis!C108="Profit",Fin_Analysis!D100,IF(Fin_Analysis!C108="Dividend",Fin_Analysis!D103,Fin_Analysis!D106))</f>
        <v>2.0892858946366859</v>
      </c>
      <c r="D29" s="127">
        <f>G29*(1+G20)</f>
        <v>3.7593870524437381</v>
      </c>
      <c r="E29" s="86"/>
      <c r="F29" s="129">
        <f>IF(Fin_Analysis!C108="Profit",Fin_Analysis!F100,IF(Fin_Analysis!C108="Dividend",Fin_Analysis!F103,Fin_Analysis!F106))</f>
        <v>2.4579834054549248</v>
      </c>
      <c r="G29" s="287">
        <f>IF(Fin_Analysis!C108="Profit",Fin_Analysis!I100,IF(Fin_Analysis!C108="Dividend",Fin_Analysis!I103,Fin_Analysis!I106))</f>
        <v>3.2690322195162942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206</v>
      </c>
      <c r="C31"/>
    </row>
    <row r="32" spans="1:8" ht="15.75" customHeight="1" x14ac:dyDescent="0.4">
      <c r="A32"/>
      <c r="B32" s="193" t="s">
        <v>207</v>
      </c>
      <c r="C32" s="219"/>
    </row>
    <row r="33" spans="1:3" ht="15.75" customHeight="1" x14ac:dyDescent="0.4">
      <c r="A33"/>
      <c r="B33" s="20" t="s">
        <v>208</v>
      </c>
      <c r="C33" s="240" t="str">
        <f>Inputs!C17</f>
        <v>Strongly agree</v>
      </c>
    </row>
    <row r="34" spans="1:3" ht="15.75" customHeight="1" x14ac:dyDescent="0.4">
      <c r="A34"/>
      <c r="B34" s="19" t="s">
        <v>209</v>
      </c>
      <c r="C34" s="220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3" t="s">
        <v>210</v>
      </c>
      <c r="C35" s="219"/>
    </row>
    <row r="36" spans="1:3" ht="15.75" customHeight="1" x14ac:dyDescent="0.4">
      <c r="A36"/>
      <c r="B36" s="20" t="s">
        <v>222</v>
      </c>
      <c r="C36" s="240" t="str">
        <f>Inputs!C18</f>
        <v>agree</v>
      </c>
    </row>
    <row r="37" spans="1:3" ht="15.75" customHeight="1" x14ac:dyDescent="0.4">
      <c r="A37"/>
      <c r="B37" s="20" t="s">
        <v>223</v>
      </c>
      <c r="C37" s="240" t="str">
        <f>Inputs!C19</f>
        <v>agree</v>
      </c>
    </row>
    <row r="38" spans="1:3" ht="15.75" customHeight="1" x14ac:dyDescent="0.4">
      <c r="A38"/>
      <c r="B38" s="193" t="s">
        <v>211</v>
      </c>
      <c r="C38" s="219"/>
    </row>
    <row r="39" spans="1:3" ht="15.75" customHeight="1" x14ac:dyDescent="0.4">
      <c r="A39"/>
      <c r="B39" s="19" t="s">
        <v>212</v>
      </c>
      <c r="C39" s="240" t="str">
        <f>Inputs!C20</f>
        <v>agree</v>
      </c>
    </row>
    <row r="40" spans="1:3" ht="15.75" customHeight="1" x14ac:dyDescent="0.4">
      <c r="A40"/>
      <c r="B40" s="1" t="s">
        <v>215</v>
      </c>
      <c r="C40" s="240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213</v>
      </c>
      <c r="C42"/>
    </row>
    <row r="43" spans="1:3" ht="65.650000000000006" x14ac:dyDescent="0.4">
      <c r="A43"/>
      <c r="B43" s="221" t="s">
        <v>214</v>
      </c>
      <c r="C43" s="239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9</v>
      </c>
      <c r="C3" s="198">
        <f>Inputs!C12</f>
        <v>45291</v>
      </c>
      <c r="E3" s="144" t="s">
        <v>185</v>
      </c>
      <c r="F3" s="84" t="str">
        <f>H14</f>
        <v/>
      </c>
      <c r="G3" s="84">
        <f>C14</f>
        <v>915160.33333333337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10</v>
      </c>
      <c r="C4" s="126">
        <f>Inputs!C13</f>
        <v>1000000</v>
      </c>
      <c r="D4" s="1" t="str">
        <f>Dashboard!G6</f>
        <v>CNY</v>
      </c>
      <c r="E4" s="144" t="s">
        <v>186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11</v>
      </c>
      <c r="C6" s="197">
        <f>IF(Inputs!C25=""," ",Inputs!C25)</f>
        <v>1318408</v>
      </c>
      <c r="D6" s="197">
        <f>IF(Inputs!D25="","",Inputs!D25)</f>
        <v>1203982</v>
      </c>
      <c r="E6" s="197" t="str">
        <f>IF(Inputs!E25="","",Inputs!E25)</f>
        <v/>
      </c>
      <c r="F6" s="197" t="str">
        <f>IF(Inputs!F25="","",Inputs!F25)</f>
        <v/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12</v>
      </c>
      <c r="C7" s="91">
        <f t="shared" ref="C7:M7" si="1">IF(D6="","",C6/D6-1)</f>
        <v>9.5039626838274938E-2</v>
      </c>
      <c r="D7" s="91" t="str">
        <f t="shared" si="1"/>
        <v/>
      </c>
      <c r="E7" s="91" t="str">
        <f t="shared" si="1"/>
        <v/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101</v>
      </c>
      <c r="C8" s="196">
        <f>IF(Inputs!C26="","",Inputs!C26)</f>
        <v>150324</v>
      </c>
      <c r="D8" s="196">
        <f>IF(Inputs!D26="","",Inputs!D26)</f>
        <v>159502</v>
      </c>
      <c r="E8" s="196" t="str">
        <f>IF(Inputs!E26="","",Inputs!E26)</f>
        <v/>
      </c>
      <c r="F8" s="196" t="str">
        <f>IF(Inputs!F26="","",Inputs!F26)</f>
        <v/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98</v>
      </c>
      <c r="C9" s="149">
        <f t="shared" ref="C9:M9" si="2">IF(C6="","",(C6-C8))</f>
        <v>1168084</v>
      </c>
      <c r="D9" s="149">
        <f t="shared" si="2"/>
        <v>1044480</v>
      </c>
      <c r="E9" s="149" t="str">
        <f t="shared" si="2"/>
        <v/>
      </c>
      <c r="F9" s="149" t="str">
        <f t="shared" si="2"/>
        <v/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99</v>
      </c>
      <c r="C10" s="196">
        <f>IF(Inputs!C27="","",Inputs!C27)</f>
        <v>252305</v>
      </c>
      <c r="D10" s="196">
        <f>IF(Inputs!D27="","",Inputs!D27)</f>
        <v>243571</v>
      </c>
      <c r="E10" s="196" t="str">
        <f>IF(Inputs!E27="","",Inputs!E27)</f>
        <v/>
      </c>
      <c r="F10" s="196" t="str">
        <f>IF(Inputs!F27="","",Inputs!F27)</f>
        <v/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102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224</v>
      </c>
      <c r="C12" s="196">
        <f>IF(Inputs!C30="","",MAX(Inputs!C30,0)/(1-Fin_Analysis!$I$84))</f>
        <v>618.66666666666663</v>
      </c>
      <c r="D12" s="196">
        <f>IF(Inputs!D30="","",MAX(Inputs!D30,0)/(1-Fin_Analysis!$I$84))</f>
        <v>0</v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225</v>
      </c>
      <c r="C13" s="224">
        <f t="shared" ref="C13:M13" si="3">IF(C14="","",C14/C6)</f>
        <v>0.6941404582900994</v>
      </c>
      <c r="D13" s="224">
        <f t="shared" si="3"/>
        <v>0.6652167557322286</v>
      </c>
      <c r="E13" s="224" t="str">
        <f t="shared" si="3"/>
        <v/>
      </c>
      <c r="F13" s="224" t="str">
        <f t="shared" si="3"/>
        <v/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217</v>
      </c>
      <c r="C14" s="225">
        <f>IF(C6="","",C9-C10-MAX(C11,0)-MAX(C12,0))</f>
        <v>915160.33333333337</v>
      </c>
      <c r="D14" s="225">
        <f t="shared" ref="D14:M14" si="4">IF(D6="","",D9-D10-MAX(D11,0)-MAX(D12,0))</f>
        <v>800909</v>
      </c>
      <c r="E14" s="225" t="str">
        <f t="shared" si="4"/>
        <v/>
      </c>
      <c r="F14" s="225" t="str">
        <f t="shared" si="4"/>
        <v/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226</v>
      </c>
      <c r="C15" s="227">
        <f>IF(D14="","",IF(ABS(C14+D14)=ABS(C14)+ABS(D14),IF(C14&lt;0,-1,1)*(C14-D14)/D14,"Turn"))</f>
        <v>0.14265207824276338</v>
      </c>
      <c r="D15" s="227" t="str">
        <f t="shared" ref="D15:M15" si="5">IF(E14="","",IF(ABS(D14+E14)=ABS(D14)+ABS(E14),IF(D14&lt;0,-1,1)*(D14-E14)/E14,"Turn"))</f>
        <v/>
      </c>
      <c r="E15" s="227" t="str">
        <f t="shared" si="5"/>
        <v/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105</v>
      </c>
      <c r="C16" s="196" t="str">
        <f>IF(Inputs!C31="","",Inputs!C31)</f>
        <v/>
      </c>
      <c r="D16" s="196" t="str">
        <f>IF(Inputs!D31="","",Inputs!D31)</f>
        <v/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235</v>
      </c>
      <c r="C17" s="196">
        <f>IF(Inputs!C29="","",Inputs!C29)</f>
        <v>651948</v>
      </c>
      <c r="D17" s="196">
        <f>IF(Inputs!D29="","",Inputs!D29)</f>
        <v>518581</v>
      </c>
      <c r="E17" s="196" t="str">
        <f>IF(Inputs!E29="","",Inputs!E29)</f>
        <v/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94</v>
      </c>
      <c r="C18" s="150" t="str">
        <f t="shared" ref="C18:M18" si="6">IF(OR(C6="",C19=""),"",C19/C6)</f>
        <v/>
      </c>
      <c r="D18" s="150" t="str">
        <f t="shared" si="6"/>
        <v/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100</v>
      </c>
      <c r="C19" s="196" t="str">
        <f>IF(Inputs!C32="","",Inputs!C32)</f>
        <v/>
      </c>
      <c r="D19" s="196" t="str">
        <f>IF(Inputs!D32="","",Inputs!D32)</f>
        <v/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219</v>
      </c>
      <c r="C20" s="150">
        <f t="shared" ref="C20:M20" si="7">IF(C6="","",MAX(C21,0)/C6)</f>
        <v>0</v>
      </c>
      <c r="D20" s="150">
        <f t="shared" si="7"/>
        <v>0</v>
      </c>
      <c r="E20" s="150" t="str">
        <f t="shared" si="7"/>
        <v/>
      </c>
      <c r="F20" s="150" t="str">
        <f t="shared" si="7"/>
        <v/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103</v>
      </c>
      <c r="C21" s="196" t="str">
        <f>IF(Inputs!C33="","",Inputs!C33)</f>
        <v/>
      </c>
      <c r="D21" s="196" t="str">
        <f>IF(Inputs!D33="","",Inputs!D33)</f>
        <v/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107</v>
      </c>
      <c r="C22" s="158">
        <f>IF(C6="","",C14-MAX(C16,0)-MAX(C17,0)-ABS(MAX(C21,0)-MAX(C19,0)))</f>
        <v>263212.33333333337</v>
      </c>
      <c r="D22" s="158">
        <f t="shared" ref="D22:M22" si="8">IF(D6="","",D14-MAX(D16,0)-MAX(D17,0)-ABS(MAX(D21,0)-MAX(D19,0)))</f>
        <v>282328</v>
      </c>
      <c r="E22" s="158" t="str">
        <f t="shared" si="8"/>
        <v/>
      </c>
      <c r="F22" s="158" t="str">
        <f t="shared" si="8"/>
        <v/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108</v>
      </c>
      <c r="C23" s="151">
        <f t="shared" ref="C23:M23" si="9">IF(C6="","",C24/C6)</f>
        <v>0.14973304925334194</v>
      </c>
      <c r="D23" s="151">
        <f t="shared" si="9"/>
        <v>0.17587140007076518</v>
      </c>
      <c r="E23" s="151" t="str">
        <f t="shared" si="9"/>
        <v/>
      </c>
      <c r="F23" s="151" t="str">
        <f t="shared" si="9"/>
        <v/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109</v>
      </c>
      <c r="C24" s="152">
        <f>IF(C6="","",C22*(1-Fin_Analysis!$I$84))</f>
        <v>197409.25000000003</v>
      </c>
      <c r="D24" s="77">
        <f>IF(D6="","",D22*(1-Fin_Analysis!$I$84))</f>
        <v>211746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122</v>
      </c>
      <c r="C25" s="228">
        <f>IF(D24="","",IF(ABS(C24+D24)=ABS(C24)+ABS(D24),IF(C24&lt;0,-1,1)*(C24-D24)/D24,"Turn"))</f>
        <v>-6.7707300255966912E-2</v>
      </c>
      <c r="D25" s="228" t="str">
        <f t="shared" ref="D25:M25" si="10">IF(E24="","",IF(ABS(D24+E24)=ABS(D24)+ABS(E24),IF(D24&lt;0,-1,1)*(D24-E24)/E24,"Turn"))</f>
        <v/>
      </c>
      <c r="E25" s="228" t="str">
        <f t="shared" si="10"/>
        <v/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128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111</v>
      </c>
      <c r="C28" s="65">
        <f>Fin_Analysis!C13</f>
        <v>0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140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257</v>
      </c>
      <c r="C30" s="65">
        <f>Inputs!C37</f>
        <v>0</v>
      </c>
      <c r="D30" s="196" t="str">
        <f>IF(Inputs!D37="","",Inputs!D37)</f>
        <v/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16</v>
      </c>
      <c r="C31" s="65">
        <f>Fin_Analysis!I15</f>
        <v>0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17</v>
      </c>
      <c r="C32" s="65">
        <f>Fin_Analysis!I34</f>
        <v>0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131</v>
      </c>
      <c r="C34" s="65">
        <f>Inputs!C41</f>
        <v>0</v>
      </c>
      <c r="D34" s="196" t="str">
        <f>IF(Inputs!D41="","",Inputs!D41)</f>
        <v/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132</v>
      </c>
      <c r="C35" s="65">
        <f>Inputs!C42</f>
        <v>0</v>
      </c>
      <c r="D35" s="196" t="str">
        <f>IF(Inputs!D42="","",Inputs!D42)</f>
        <v/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130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134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148</v>
      </c>
      <c r="C38" s="153" t="e">
        <f>IF(C6="","",C14/MAX(C37,0))</f>
        <v>#DIV/0!</v>
      </c>
      <c r="D38" s="153" t="e">
        <f>IF(D6="","",D14/MAX(D37,0))</f>
        <v>#DIV/0!</v>
      </c>
      <c r="E38" s="153" t="str">
        <f>IF(E6="","",E14/MAX(E37,0))</f>
        <v/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242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93</v>
      </c>
      <c r="C40" s="154">
        <f t="shared" ref="C40:M40" si="34">IF(C6="","",C8/C6)</f>
        <v>0.11401933240696355</v>
      </c>
      <c r="D40" s="154">
        <f t="shared" si="34"/>
        <v>0.13247872476498818</v>
      </c>
      <c r="E40" s="154" t="str">
        <f t="shared" si="34"/>
        <v/>
      </c>
      <c r="F40" s="154" t="str">
        <f t="shared" si="34"/>
        <v/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218</v>
      </c>
      <c r="C41" s="151">
        <f t="shared" ref="C41:M41" si="35">IF(C6="","",(C10+MAX(C11,0))/C6)</f>
        <v>0.19137095648691452</v>
      </c>
      <c r="D41" s="151">
        <f t="shared" si="35"/>
        <v>0.20230451950278328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104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116</v>
      </c>
      <c r="C43" s="151">
        <f t="shared" ref="C43:M43" si="37">IF(C6="","",MAX(C17,0)/C6)</f>
        <v>0.49449639261897682</v>
      </c>
      <c r="D43" s="151">
        <f t="shared" si="37"/>
        <v>0.43072155563787501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123</v>
      </c>
      <c r="C44" s="151">
        <f t="shared" ref="C44:M44" si="38">IF(C6="","",MAX(C12,0)/C6)</f>
        <v>4.6925281602255647E-4</v>
      </c>
      <c r="D44" s="151">
        <f t="shared" si="38"/>
        <v>0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220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118</v>
      </c>
      <c r="C46" s="151">
        <f t="shared" ref="C46:M46" si="40">IF(C6="","",C22/C6)</f>
        <v>0.19964406567112258</v>
      </c>
      <c r="D46" s="151">
        <f t="shared" si="40"/>
        <v>0.23449520009435357</v>
      </c>
      <c r="E46" s="151" t="str">
        <f t="shared" si="40"/>
        <v/>
      </c>
      <c r="F46" s="151" t="str">
        <f t="shared" si="40"/>
        <v/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243</v>
      </c>
      <c r="C47" s="276" t="s">
        <v>260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249</v>
      </c>
      <c r="C48" s="267" t="e">
        <f t="shared" ref="C48:M48" si="41">IF(C6="","",C6/C27)</f>
        <v>#DIV/0!</v>
      </c>
      <c r="D48" s="267" t="e">
        <f t="shared" si="41"/>
        <v>#VALUE!</v>
      </c>
      <c r="E48" s="267" t="str">
        <f t="shared" si="41"/>
        <v/>
      </c>
      <c r="F48" s="267" t="str">
        <f t="shared" si="41"/>
        <v/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250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251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241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245</v>
      </c>
      <c r="C53" s="154" t="e">
        <f t="shared" ref="C53:M53" si="45">IF(C34="","",(C34-C35)/C27)</f>
        <v>#DIV/0!</v>
      </c>
      <c r="D53" s="154" t="str">
        <f t="shared" si="45"/>
        <v/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115</v>
      </c>
      <c r="C54" s="155" t="str">
        <f t="shared" ref="C54:M54" si="46">IF(OR(C22="",C33=""),"",IF(C33&lt;=0,"-",C22/C33))</f>
        <v>-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117</v>
      </c>
      <c r="C55" s="151">
        <f t="shared" ref="C55:M55" si="47">IF(C22="","",IF(MAX(C17,0)&lt;=0,"-",C17/C22))</f>
        <v>2.4768900140190997</v>
      </c>
      <c r="D55" s="151">
        <f t="shared" si="47"/>
        <v>1.8368032926241817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264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246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247</v>
      </c>
      <c r="C58" s="269" t="e">
        <f t="shared" ref="C58:M58" si="49">IF(C14="","",C14/(C34-C35))</f>
        <v>#DIV/0!</v>
      </c>
      <c r="D58" s="269" t="e">
        <f t="shared" si="49"/>
        <v>#VALUE!</v>
      </c>
      <c r="E58" s="269" t="str">
        <f t="shared" si="49"/>
        <v/>
      </c>
      <c r="F58" s="269" t="str">
        <f t="shared" si="49"/>
        <v/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248</v>
      </c>
      <c r="C59" s="269" t="e">
        <f t="shared" ref="C59:M59" si="50">IF(C22="","",C22/(C34-C35))</f>
        <v>#DIV/0!</v>
      </c>
      <c r="D59" s="269" t="e">
        <f t="shared" si="50"/>
        <v>#VALUE!</v>
      </c>
      <c r="E59" s="269" t="str">
        <f t="shared" si="50"/>
        <v/>
      </c>
      <c r="F59" s="269" t="str">
        <f t="shared" si="50"/>
        <v/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C99" sqref="C99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19</v>
      </c>
      <c r="C2" s="45"/>
      <c r="D2" s="64"/>
      <c r="E2" s="86"/>
      <c r="F2" s="7"/>
      <c r="G2" s="7"/>
      <c r="H2" s="7"/>
      <c r="I2" s="86"/>
      <c r="K2" s="50" t="s">
        <v>7</v>
      </c>
    </row>
    <row r="3" spans="1:11" ht="15" customHeight="1" x14ac:dyDescent="0.4">
      <c r="B3" s="3" t="s">
        <v>20</v>
      </c>
      <c r="C3" s="86"/>
      <c r="D3" s="202">
        <f>Inputs!C41</f>
        <v>0</v>
      </c>
      <c r="E3" s="67" t="str">
        <f>IF((C49-I49)=D3,"", "Error!")</f>
        <v/>
      </c>
      <c r="F3" s="86"/>
      <c r="G3" s="86"/>
      <c r="H3" s="47" t="s">
        <v>21</v>
      </c>
      <c r="I3" s="278">
        <f>D3-D4</f>
        <v>0</v>
      </c>
      <c r="K3" s="24"/>
    </row>
    <row r="4" spans="1:11" ht="15" customHeight="1" x14ac:dyDescent="0.4">
      <c r="B4" s="3" t="s">
        <v>22</v>
      </c>
      <c r="C4" s="86"/>
      <c r="D4" s="196">
        <f>Inputs!C42</f>
        <v>0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23</v>
      </c>
      <c r="H5" s="1" t="s">
        <v>24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6"/>
      <c r="D6" s="69">
        <f>(E49-I49-E53)</f>
        <v>0</v>
      </c>
      <c r="E6" s="56" t="e">
        <f>1-D6/D3</f>
        <v>#DIV/0!</v>
      </c>
      <c r="F6" s="86"/>
      <c r="G6" s="86"/>
      <c r="H6" s="1" t="s">
        <v>25</v>
      </c>
      <c r="I6" s="63" t="e">
        <f>(C24+C25)/I28</f>
        <v>#DIV/0!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26</v>
      </c>
      <c r="I7" s="63" t="e">
        <f>C24/I28</f>
        <v>#DIV/0!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27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28</v>
      </c>
      <c r="C10" s="74" t="s">
        <v>29</v>
      </c>
      <c r="D10" s="74" t="s">
        <v>181</v>
      </c>
      <c r="E10" s="74" t="s">
        <v>30</v>
      </c>
      <c r="F10" s="110" t="s">
        <v>31</v>
      </c>
      <c r="G10" s="86"/>
      <c r="H10" s="22" t="s">
        <v>32</v>
      </c>
      <c r="I10" s="74" t="s">
        <v>29</v>
      </c>
      <c r="K10" s="24"/>
    </row>
    <row r="11" spans="1:11" ht="15" customHeight="1" x14ac:dyDescent="0.4">
      <c r="B11" s="3" t="s">
        <v>33</v>
      </c>
      <c r="C11" s="40">
        <f>Inputs!C48</f>
        <v>0</v>
      </c>
      <c r="D11" s="195">
        <f>Inputs!D48</f>
        <v>0.9</v>
      </c>
      <c r="E11" s="87">
        <f t="shared" ref="E11:E22" si="0">C11*D11</f>
        <v>0</v>
      </c>
      <c r="F11" s="111"/>
      <c r="G11" s="86"/>
      <c r="H11" s="3" t="s">
        <v>34</v>
      </c>
      <c r="I11" s="40">
        <f>Inputs!C73</f>
        <v>0</v>
      </c>
      <c r="J11" s="86"/>
      <c r="K11" s="24"/>
    </row>
    <row r="12" spans="1:11" ht="13.9" x14ac:dyDescent="0.4">
      <c r="B12" s="1" t="s">
        <v>129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35</v>
      </c>
      <c r="I12" s="40">
        <f>Inputs!C74</f>
        <v>0</v>
      </c>
      <c r="J12" s="86"/>
      <c r="K12" s="24"/>
    </row>
    <row r="13" spans="1:11" ht="13.9" x14ac:dyDescent="0.4">
      <c r="B13" s="3" t="s">
        <v>111</v>
      </c>
      <c r="C13" s="40">
        <f>Inputs!C50</f>
        <v>0</v>
      </c>
      <c r="D13" s="195">
        <f>Inputs!D50</f>
        <v>0.6</v>
      </c>
      <c r="E13" s="87">
        <f t="shared" si="0"/>
        <v>0</v>
      </c>
      <c r="F13" s="111"/>
      <c r="G13" s="86"/>
      <c r="H13" s="3" t="s">
        <v>36</v>
      </c>
      <c r="I13" s="40">
        <f>Inputs!C75</f>
        <v>0</v>
      </c>
      <c r="J13" s="86"/>
      <c r="K13" s="26"/>
    </row>
    <row r="14" spans="1:11" ht="13.9" x14ac:dyDescent="0.4">
      <c r="B14" s="3" t="s">
        <v>37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38</v>
      </c>
      <c r="I14" s="201">
        <f>Inputs!C76</f>
        <v>0</v>
      </c>
      <c r="J14" s="86"/>
      <c r="K14" s="27"/>
    </row>
    <row r="15" spans="1:11" ht="13.9" x14ac:dyDescent="0.4">
      <c r="B15" s="3" t="s">
        <v>39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49</v>
      </c>
      <c r="I15" s="83">
        <f>SUM(I11:I14)</f>
        <v>0</v>
      </c>
      <c r="J15" s="86"/>
    </row>
    <row r="16" spans="1:11" ht="13.9" x14ac:dyDescent="0.4">
      <c r="B16" s="1" t="s">
        <v>149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112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42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43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114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45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46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40</v>
      </c>
      <c r="I22" s="52">
        <f>I28-SUM(I11:I14)</f>
        <v>0</v>
      </c>
    </row>
    <row r="23" spans="2:10" ht="15" customHeight="1" x14ac:dyDescent="0.4">
      <c r="C23" s="86"/>
      <c r="D23" s="86"/>
      <c r="E23" s="86"/>
      <c r="F23" s="110" t="s">
        <v>47</v>
      </c>
      <c r="G23" s="86"/>
    </row>
    <row r="24" spans="2:10" ht="15" customHeight="1" x14ac:dyDescent="0.4">
      <c r="B24" s="23" t="s">
        <v>48</v>
      </c>
      <c r="C24" s="61">
        <f>SUM(C11:C14)</f>
        <v>0</v>
      </c>
      <c r="D24" s="62">
        <f>IF(E24=0,0,E24/C24)</f>
        <v>0</v>
      </c>
      <c r="E24" s="87">
        <f>SUM(E11:E14)</f>
        <v>0</v>
      </c>
      <c r="F24" s="112" t="e">
        <f>E24/$E$28</f>
        <v>#DIV/0!</v>
      </c>
      <c r="G24" s="86"/>
    </row>
    <row r="25" spans="2:10" ht="15" customHeight="1" x14ac:dyDescent="0.4">
      <c r="B25" s="23" t="s">
        <v>50</v>
      </c>
      <c r="C25" s="61">
        <f>SUM(C15:C17)</f>
        <v>0</v>
      </c>
      <c r="D25" s="62">
        <f>IF(E25=0,0,E25/C25)</f>
        <v>0</v>
      </c>
      <c r="E25" s="87">
        <f>SUM(E15:E17)</f>
        <v>0</v>
      </c>
      <c r="F25" s="112" t="e">
        <f>E25/$E$28</f>
        <v>#DIV/0!</v>
      </c>
      <c r="G25" s="86"/>
      <c r="H25" s="23" t="s">
        <v>51</v>
      </c>
      <c r="I25" s="63" t="e">
        <f>E28/I28</f>
        <v>#DIV/0!</v>
      </c>
    </row>
    <row r="26" spans="2:10" ht="15" customHeight="1" x14ac:dyDescent="0.4">
      <c r="B26" s="23" t="s">
        <v>52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 t="e">
        <f>E26/$E$28</f>
        <v>#DIV/0!</v>
      </c>
      <c r="G26" s="86"/>
      <c r="H26" s="23" t="s">
        <v>53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54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 t="e">
        <f>E27/$E$28</f>
        <v>#DIV/0!</v>
      </c>
      <c r="G27" s="86"/>
      <c r="H27" s="23" t="s">
        <v>55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1"/>
      <c r="G28" s="86"/>
      <c r="H28" s="78" t="s">
        <v>15</v>
      </c>
      <c r="I28" s="202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6"/>
      <c r="D29" s="86"/>
      <c r="E29" s="86"/>
      <c r="F29" s="111" t="s">
        <v>31</v>
      </c>
      <c r="G29" s="86"/>
      <c r="H29" s="86"/>
      <c r="I29" s="86"/>
      <c r="J29" s="86"/>
    </row>
    <row r="30" spans="2:10" ht="15" customHeight="1" x14ac:dyDescent="0.4">
      <c r="B30" s="3" t="s">
        <v>56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57</v>
      </c>
      <c r="I30" s="40">
        <f>Inputs!C78</f>
        <v>0</v>
      </c>
      <c r="J30" s="86"/>
    </row>
    <row r="31" spans="2:10" ht="15" customHeight="1" x14ac:dyDescent="0.4">
      <c r="B31" s="3" t="s">
        <v>58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59</v>
      </c>
      <c r="I31" s="40">
        <f>Inputs!C79</f>
        <v>0</v>
      </c>
      <c r="J31" s="86"/>
    </row>
    <row r="32" spans="2:10" ht="15" customHeight="1" x14ac:dyDescent="0.4">
      <c r="B32" s="3" t="s">
        <v>60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61</v>
      </c>
      <c r="I32" s="40">
        <f>Inputs!C80</f>
        <v>0</v>
      </c>
      <c r="J32" s="86"/>
    </row>
    <row r="33" spans="2:10" ht="13.9" x14ac:dyDescent="0.4">
      <c r="B33" s="1" t="s">
        <v>150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62</v>
      </c>
      <c r="I33" s="201">
        <f>Inputs!C81</f>
        <v>0</v>
      </c>
      <c r="J33" s="86"/>
    </row>
    <row r="34" spans="2:10" ht="13.9" x14ac:dyDescent="0.4">
      <c r="B34" s="3" t="s">
        <v>63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73</v>
      </c>
      <c r="I34" s="83">
        <f>SUM(I30:I33)</f>
        <v>0</v>
      </c>
      <c r="J34" s="86"/>
    </row>
    <row r="35" spans="2:10" ht="13.9" x14ac:dyDescent="0.4">
      <c r="B35" s="3" t="s">
        <v>65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67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44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113</v>
      </c>
      <c r="C38" s="40">
        <f>Inputs!C68</f>
        <v>0</v>
      </c>
      <c r="D38" s="195">
        <f>Inputs!D68</f>
        <v>0.1</v>
      </c>
      <c r="E38" s="87">
        <f t="shared" si="1"/>
        <v>0</v>
      </c>
      <c r="F38" s="111"/>
      <c r="G38" s="86"/>
      <c r="H38" s="86"/>
      <c r="I38" s="86"/>
    </row>
    <row r="39" spans="2:10" ht="13.9" x14ac:dyDescent="0.4">
      <c r="B39" s="3" t="s">
        <v>68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69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70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71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64</v>
      </c>
      <c r="I42" s="52">
        <f>I48-SUM(I30:I33)</f>
        <v>0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72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74</v>
      </c>
      <c r="C45" s="61">
        <f>SUM(C32:C35)</f>
        <v>0</v>
      </c>
      <c r="D45" s="62">
        <f>IF(E45=0,0,E45/C45)</f>
        <v>0</v>
      </c>
      <c r="E45" s="87">
        <f>SUM(E32:E35)</f>
        <v>0</v>
      </c>
      <c r="F45" s="72"/>
      <c r="G45" s="86"/>
    </row>
    <row r="46" spans="2:10" ht="15" customHeight="1" x14ac:dyDescent="0.4">
      <c r="B46" s="23" t="s">
        <v>75</v>
      </c>
      <c r="C46" s="61">
        <f>C36+C37+C38+C39</f>
        <v>0</v>
      </c>
      <c r="D46" s="62">
        <f>IF(E46=0,0,E46/C46)</f>
        <v>0</v>
      </c>
      <c r="E46" s="87">
        <f>E36+E37+E38+E39</f>
        <v>0</v>
      </c>
      <c r="F46" s="86"/>
      <c r="G46" s="86"/>
      <c r="H46" s="23" t="s">
        <v>76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77</v>
      </c>
      <c r="C47" s="61">
        <f>C40+C41+C42</f>
        <v>0</v>
      </c>
      <c r="D47" s="62">
        <f>IF(E47=0,0,E47/C47)</f>
        <v>0</v>
      </c>
      <c r="E47" s="87">
        <f>E40+E41+E42</f>
        <v>0</v>
      </c>
      <c r="F47" s="86"/>
      <c r="G47" s="86"/>
      <c r="H47" s="23" t="s">
        <v>78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79</v>
      </c>
      <c r="C48" s="279">
        <f>SUM(C30:C42)</f>
        <v>0</v>
      </c>
      <c r="D48" s="81" t="e">
        <f>E48/C48</f>
        <v>#DIV/0!</v>
      </c>
      <c r="E48" s="76">
        <f>SUM(E30:E42)</f>
        <v>0</v>
      </c>
      <c r="F48" s="86"/>
      <c r="G48" s="86"/>
      <c r="H48" s="80" t="s">
        <v>80</v>
      </c>
      <c r="I48" s="277">
        <f>I49-I28</f>
        <v>0</v>
      </c>
      <c r="J48" s="8"/>
    </row>
    <row r="49" spans="2:11" ht="15" customHeight="1" thickTop="1" x14ac:dyDescent="0.4">
      <c r="B49" s="3" t="s">
        <v>13</v>
      </c>
      <c r="C49" s="61">
        <f>Inputs!C41+Inputs!C37</f>
        <v>0</v>
      </c>
      <c r="D49" s="56" t="e">
        <f>E49/C49</f>
        <v>#DIV/0!</v>
      </c>
      <c r="E49" s="87">
        <f>E28+E48</f>
        <v>0</v>
      </c>
      <c r="F49" s="86"/>
      <c r="G49" s="86"/>
      <c r="H49" s="3" t="s">
        <v>81</v>
      </c>
      <c r="I49" s="40">
        <f>Inputs!C37</f>
        <v>0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82</v>
      </c>
      <c r="C51" s="31"/>
      <c r="D51" s="18"/>
    </row>
    <row r="52" spans="2:11" ht="13.9" x14ac:dyDescent="0.4">
      <c r="B52" s="44" t="s">
        <v>83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7</v>
      </c>
    </row>
    <row r="53" spans="2:11" ht="13.9" x14ac:dyDescent="0.4">
      <c r="B53" s="3" t="s">
        <v>84</v>
      </c>
      <c r="C53" s="87">
        <f>MAX(D4,0)</f>
        <v>0</v>
      </c>
      <c r="D53" s="29">
        <f>IF(E53=0, 0,E53/C53)</f>
        <v>0</v>
      </c>
      <c r="E53" s="87">
        <f>IF(C53=0,0,MAX(C53,C53*Dashboard!G23))</f>
        <v>0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141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85</v>
      </c>
      <c r="C56" s="86"/>
      <c r="D56" s="297">
        <f>I15+I34</f>
        <v>0</v>
      </c>
      <c r="E56" s="295"/>
      <c r="F56" s="3"/>
      <c r="G56" s="3"/>
      <c r="I56" s="56"/>
      <c r="K56" s="33"/>
    </row>
    <row r="57" spans="2:11" ht="13.9" x14ac:dyDescent="0.4">
      <c r="B57" s="20" t="s">
        <v>86</v>
      </c>
      <c r="C57" s="86"/>
      <c r="D57" s="296">
        <f>Inputs!C84</f>
        <v>0</v>
      </c>
      <c r="E57" s="295"/>
      <c r="G57" s="86"/>
      <c r="I57" s="86"/>
      <c r="K57" s="33" t="s">
        <v>87</v>
      </c>
    </row>
    <row r="58" spans="2:11" ht="12.75" customHeight="1" x14ac:dyDescent="0.4">
      <c r="B58" s="20" t="s">
        <v>88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144</v>
      </c>
      <c r="C60" s="3"/>
      <c r="D60" s="75" t="s">
        <v>89</v>
      </c>
      <c r="E60" s="86"/>
      <c r="F60" s="9"/>
      <c r="G60" s="9"/>
      <c r="I60" s="86"/>
      <c r="K60" s="33"/>
    </row>
    <row r="61" spans="2:11" ht="15" customHeight="1" x14ac:dyDescent="0.4">
      <c r="B61" s="19" t="s">
        <v>90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6"/>
      <c r="G61" s="86"/>
      <c r="I61" s="86"/>
      <c r="K61" s="33"/>
    </row>
    <row r="62" spans="2:11" ht="13.9" x14ac:dyDescent="0.4">
      <c r="B62" s="35" t="s">
        <v>133</v>
      </c>
      <c r="C62" s="115">
        <f>C11+C30</f>
        <v>0</v>
      </c>
      <c r="D62" s="106">
        <f t="shared" si="2"/>
        <v>0</v>
      </c>
      <c r="E62" s="116">
        <f>E11+E30</f>
        <v>0</v>
      </c>
      <c r="F62" s="86"/>
      <c r="G62" s="86"/>
      <c r="I62" s="86"/>
      <c r="K62" s="33"/>
    </row>
    <row r="63" spans="2:11" ht="13.9" x14ac:dyDescent="0.4">
      <c r="B63" s="19" t="s">
        <v>135</v>
      </c>
      <c r="C63" s="68">
        <f>C61+C62</f>
        <v>0</v>
      </c>
      <c r="D63" s="29">
        <f t="shared" si="2"/>
        <v>0</v>
      </c>
      <c r="E63" s="61">
        <f>E61+E62</f>
        <v>0</v>
      </c>
      <c r="F63" s="86"/>
      <c r="G63" s="86"/>
      <c r="I63" s="86"/>
      <c r="K63" s="33"/>
    </row>
    <row r="64" spans="2:11" ht="14.25" thickBot="1" x14ac:dyDescent="0.45">
      <c r="B64" s="119" t="s">
        <v>142</v>
      </c>
      <c r="C64" s="203"/>
      <c r="D64" s="203"/>
      <c r="E64" s="69">
        <f>D56+D57+D58</f>
        <v>0</v>
      </c>
      <c r="F64" s="86"/>
      <c r="G64" s="86"/>
      <c r="I64" s="86"/>
      <c r="K64" s="33"/>
    </row>
    <row r="65" spans="1:11" ht="14.25" thickTop="1" x14ac:dyDescent="0.4">
      <c r="B65" s="3" t="s">
        <v>136</v>
      </c>
      <c r="C65" s="68">
        <f>C63-E64</f>
        <v>0</v>
      </c>
      <c r="D65" s="29">
        <f t="shared" si="2"/>
        <v>0</v>
      </c>
      <c r="E65" s="61">
        <f>E63-E64</f>
        <v>0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145</v>
      </c>
      <c r="C67" s="3"/>
      <c r="D67" s="75" t="s">
        <v>89</v>
      </c>
      <c r="E67" s="61"/>
      <c r="F67" s="86"/>
      <c r="G67" s="86"/>
      <c r="I67" s="86"/>
      <c r="K67" s="33"/>
    </row>
    <row r="68" spans="1:11" ht="13.9" x14ac:dyDescent="0.4">
      <c r="B68" s="19" t="s">
        <v>134</v>
      </c>
      <c r="C68" s="68">
        <f>C49-C63</f>
        <v>0</v>
      </c>
      <c r="D68" s="29">
        <f t="shared" si="2"/>
        <v>0</v>
      </c>
      <c r="E68" s="68">
        <f>E49-E63</f>
        <v>0</v>
      </c>
      <c r="F68" s="86"/>
      <c r="G68" s="86"/>
      <c r="I68" s="86"/>
      <c r="K68" s="33"/>
    </row>
    <row r="69" spans="1:11" ht="14.25" thickBot="1" x14ac:dyDescent="0.45">
      <c r="B69" s="119" t="s">
        <v>143</v>
      </c>
      <c r="C69" s="203"/>
      <c r="D69" s="203"/>
      <c r="E69" s="124">
        <f>I49-E64</f>
        <v>0</v>
      </c>
      <c r="F69" s="86"/>
      <c r="G69" s="86"/>
      <c r="I69" s="86"/>
      <c r="K69" s="33"/>
    </row>
    <row r="70" spans="1:11" ht="14.25" thickTop="1" x14ac:dyDescent="0.4">
      <c r="B70" s="19" t="s">
        <v>137</v>
      </c>
      <c r="C70" s="68">
        <f>C68-E69</f>
        <v>0</v>
      </c>
      <c r="D70" s="29">
        <f t="shared" si="2"/>
        <v>0</v>
      </c>
      <c r="E70" s="68">
        <f>E68-E69</f>
        <v>0</v>
      </c>
      <c r="F70" s="86"/>
      <c r="G70" s="86"/>
      <c r="I70" s="86"/>
      <c r="K70" s="33"/>
    </row>
    <row r="72" spans="1:11" ht="15" customHeight="1" x14ac:dyDescent="0.4">
      <c r="A72" s="5"/>
      <c r="B72" s="105" t="s">
        <v>121</v>
      </c>
      <c r="C72" s="284">
        <f>Data!C5</f>
        <v>45291</v>
      </c>
      <c r="D72" s="284"/>
      <c r="E72" s="298" t="s">
        <v>191</v>
      </c>
      <c r="F72" s="298"/>
      <c r="H72" s="298" t="s">
        <v>190</v>
      </c>
      <c r="I72" s="298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85" t="s">
        <v>96</v>
      </c>
      <c r="D73" s="285"/>
      <c r="E73" s="299" t="s">
        <v>97</v>
      </c>
      <c r="F73" s="285"/>
      <c r="H73" s="299" t="s">
        <v>97</v>
      </c>
      <c r="I73" s="285"/>
      <c r="K73" s="24"/>
    </row>
    <row r="74" spans="1:11" ht="15" customHeight="1" x14ac:dyDescent="0.4">
      <c r="B74" s="3" t="s">
        <v>120</v>
      </c>
      <c r="C74" s="77">
        <f>Data!C6</f>
        <v>1318408</v>
      </c>
      <c r="D74" s="204"/>
      <c r="E74" s="233">
        <f>Inputs!E91</f>
        <v>1318408</v>
      </c>
      <c r="F74" s="204"/>
      <c r="H74" s="233">
        <f>Inputs!F91</f>
        <v>1318408</v>
      </c>
      <c r="I74" s="204"/>
      <c r="K74" s="24"/>
    </row>
    <row r="75" spans="1:11" ht="15" customHeight="1" x14ac:dyDescent="0.4">
      <c r="B75" s="103" t="s">
        <v>101</v>
      </c>
      <c r="C75" s="77">
        <f>Data!C8</f>
        <v>150324</v>
      </c>
      <c r="D75" s="156">
        <f>C75/$C$74</f>
        <v>0.11401933240696355</v>
      </c>
      <c r="E75" s="233">
        <f>Inputs!E92</f>
        <v>150324</v>
      </c>
      <c r="F75" s="157">
        <f>E75/E74</f>
        <v>0.11401933240696355</v>
      </c>
      <c r="H75" s="233">
        <f>Inputs!F92</f>
        <v>150324</v>
      </c>
      <c r="I75" s="157">
        <f>H75/$H$74</f>
        <v>0.11401933240696355</v>
      </c>
      <c r="K75" s="24"/>
    </row>
    <row r="76" spans="1:11" ht="15" customHeight="1" x14ac:dyDescent="0.4">
      <c r="B76" s="35" t="s">
        <v>91</v>
      </c>
      <c r="C76" s="158">
        <f>C74-C75</f>
        <v>1168084</v>
      </c>
      <c r="D76" s="205"/>
      <c r="E76" s="159">
        <f>E74-E75</f>
        <v>1168084</v>
      </c>
      <c r="F76" s="205"/>
      <c r="H76" s="159">
        <f>H74-H75</f>
        <v>1168084</v>
      </c>
      <c r="I76" s="205"/>
      <c r="K76" s="24"/>
    </row>
    <row r="77" spans="1:11" ht="15" customHeight="1" x14ac:dyDescent="0.4">
      <c r="B77" s="103" t="s">
        <v>228</v>
      </c>
      <c r="C77" s="77">
        <f>Data!C10+MAX(Data!C11,0)</f>
        <v>252305</v>
      </c>
      <c r="D77" s="156">
        <f>C77/$C$74</f>
        <v>0.19137095648691452</v>
      </c>
      <c r="E77" s="233">
        <f>Inputs!E93</f>
        <v>252305</v>
      </c>
      <c r="F77" s="157">
        <f>E77/E74</f>
        <v>0.19137095648691452</v>
      </c>
      <c r="H77" s="233">
        <f>Inputs!F93</f>
        <v>252305</v>
      </c>
      <c r="I77" s="157">
        <f>H77/$H$74</f>
        <v>0.19137095648691452</v>
      </c>
      <c r="K77" s="24"/>
    </row>
    <row r="78" spans="1:11" ht="15" customHeight="1" x14ac:dyDescent="0.4">
      <c r="B78" s="73" t="s">
        <v>160</v>
      </c>
      <c r="C78" s="77">
        <f>MAX(Data!C12,0)</f>
        <v>618.66666666666663</v>
      </c>
      <c r="D78" s="156">
        <f>C78/$C$74</f>
        <v>4.6925281602255647E-4</v>
      </c>
      <c r="E78" s="177">
        <f>E74*F78</f>
        <v>618.66666666666663</v>
      </c>
      <c r="F78" s="157">
        <f>I78</f>
        <v>4.6925281602255647E-4</v>
      </c>
      <c r="H78" s="233">
        <f>Inputs!F97</f>
        <v>618.66666666666663</v>
      </c>
      <c r="I78" s="157">
        <f>H78/$H$74</f>
        <v>4.6925281602255647E-4</v>
      </c>
      <c r="K78" s="24"/>
    </row>
    <row r="79" spans="1:11" ht="15" customHeight="1" x14ac:dyDescent="0.4">
      <c r="B79" s="251" t="s">
        <v>216</v>
      </c>
      <c r="C79" s="252">
        <f>C76-C77-C78</f>
        <v>915160.33333333337</v>
      </c>
      <c r="D79" s="253">
        <f>C79/C74</f>
        <v>0.6941404582900994</v>
      </c>
      <c r="E79" s="254">
        <f>E76-E77-E78</f>
        <v>915160.33333333337</v>
      </c>
      <c r="F79" s="253">
        <f>E79/E74</f>
        <v>0.6941404582900994</v>
      </c>
      <c r="G79" s="255"/>
      <c r="H79" s="254">
        <f>H76-H77-H78</f>
        <v>915160.33333333337</v>
      </c>
      <c r="I79" s="253">
        <f>H79/H74</f>
        <v>0.6941404582900994</v>
      </c>
      <c r="K79" s="24"/>
    </row>
    <row r="80" spans="1:11" ht="15" customHeight="1" x14ac:dyDescent="0.4">
      <c r="B80" s="28" t="s">
        <v>105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125</v>
      </c>
    </row>
    <row r="81" spans="1:11" ht="15" customHeight="1" x14ac:dyDescent="0.4">
      <c r="B81" s="103" t="s">
        <v>235</v>
      </c>
      <c r="C81" s="77">
        <f>MAX(Data!C17,0)</f>
        <v>651948</v>
      </c>
      <c r="D81" s="156">
        <f>C81/$C$74</f>
        <v>0.49449639261897682</v>
      </c>
      <c r="E81" s="177">
        <f>E74*F81</f>
        <v>651948</v>
      </c>
      <c r="F81" s="157">
        <f>I81</f>
        <v>0.49449639261897682</v>
      </c>
      <c r="H81" s="233">
        <f>Inputs!F94</f>
        <v>651948</v>
      </c>
      <c r="I81" s="157">
        <f>H81/$H$74</f>
        <v>0.49449639261897682</v>
      </c>
      <c r="K81" s="24"/>
    </row>
    <row r="82" spans="1:11" ht="15" customHeight="1" x14ac:dyDescent="0.4">
      <c r="B82" s="28" t="s">
        <v>227</v>
      </c>
      <c r="C82" s="77">
        <f>ABS(MAX(Data!C21,0)-MAX(Data!C19,0))</f>
        <v>0</v>
      </c>
      <c r="D82" s="156">
        <f>C82/$C$74</f>
        <v>0</v>
      </c>
      <c r="E82" s="233">
        <f>Inputs!E95</f>
        <v>0</v>
      </c>
      <c r="F82" s="157">
        <f>E82/E74</f>
        <v>0</v>
      </c>
      <c r="H82" s="233">
        <f>Inputs!F95</f>
        <v>0</v>
      </c>
      <c r="I82" s="157">
        <f>H82/$H$74</f>
        <v>0</v>
      </c>
      <c r="K82" s="24"/>
    </row>
    <row r="83" spans="1:11" ht="15" customHeight="1" thickBot="1" x14ac:dyDescent="0.45">
      <c r="B83" s="104" t="s">
        <v>119</v>
      </c>
      <c r="C83" s="160">
        <f>C79-C81-C82-C80</f>
        <v>263212.33333333337</v>
      </c>
      <c r="D83" s="161">
        <f>C83/$C$74</f>
        <v>0.19964406567112258</v>
      </c>
      <c r="E83" s="162">
        <f>E79-E81-E82-E80</f>
        <v>263212.33333333337</v>
      </c>
      <c r="F83" s="161">
        <f>E83/E74</f>
        <v>0.19964406567112258</v>
      </c>
      <c r="H83" s="162">
        <f>H79-H81-H82-H80</f>
        <v>263212.33333333337</v>
      </c>
      <c r="I83" s="161">
        <f>H83/$H$74</f>
        <v>0.19964406567112258</v>
      </c>
      <c r="K83" s="24"/>
    </row>
    <row r="84" spans="1:11" ht="15" customHeight="1" thickTop="1" x14ac:dyDescent="0.4">
      <c r="B84" s="28" t="s">
        <v>92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155</v>
      </c>
      <c r="C85" s="252">
        <f>C83*(1-I84)</f>
        <v>197409.25000000003</v>
      </c>
      <c r="D85" s="253">
        <f>C85/$C$74</f>
        <v>0.14973304925334194</v>
      </c>
      <c r="E85" s="259">
        <f>E83*(1-F84)</f>
        <v>197409.25000000003</v>
      </c>
      <c r="F85" s="253">
        <f>E85/E74</f>
        <v>0.14973304925334194</v>
      </c>
      <c r="G85" s="255"/>
      <c r="H85" s="259">
        <f>H83*(1-I84)</f>
        <v>197409.25000000003</v>
      </c>
      <c r="I85" s="253">
        <f>H85/$H$74</f>
        <v>0.14973304925334194</v>
      </c>
      <c r="K85" s="24"/>
    </row>
    <row r="86" spans="1:11" ht="15" customHeight="1" x14ac:dyDescent="0.4">
      <c r="B86" s="86" t="s">
        <v>151</v>
      </c>
      <c r="C86" s="164">
        <f>C85*Data!C4/Common_Shares</f>
        <v>0.5640537708797474</v>
      </c>
      <c r="D86" s="204"/>
      <c r="E86" s="165">
        <f>E85*Data!C4/Common_Shares</f>
        <v>0.5640537708797474</v>
      </c>
      <c r="F86" s="204"/>
      <c r="H86" s="165">
        <f>H85*Data!C4/Common_Shares</f>
        <v>0.5640537708797474</v>
      </c>
      <c r="I86" s="204"/>
      <c r="K86" s="24"/>
    </row>
    <row r="87" spans="1:11" ht="15" customHeight="1" x14ac:dyDescent="0.4">
      <c r="B87" s="86" t="s">
        <v>193</v>
      </c>
      <c r="C87" s="256">
        <f>C86*Exchange_Rate/Dashboard!G3</f>
        <v>0.14380285924540909</v>
      </c>
      <c r="D87" s="204"/>
      <c r="E87" s="257">
        <f>E86*Exchange_Rate/Dashboard!G3</f>
        <v>0.14380285924540909</v>
      </c>
      <c r="F87" s="204"/>
      <c r="H87" s="257">
        <f>H86*Exchange_Rate/Dashboard!G3</f>
        <v>0.14380285924540909</v>
      </c>
      <c r="I87" s="204"/>
      <c r="K87" s="24"/>
    </row>
    <row r="88" spans="1:11" ht="15" customHeight="1" x14ac:dyDescent="0.4">
      <c r="B88" s="85" t="s">
        <v>192</v>
      </c>
      <c r="C88" s="166">
        <f>Inputs!C44</f>
        <v>0.3473</v>
      </c>
      <c r="D88" s="163">
        <f>C88/C86</f>
        <v>0.61572143992286532</v>
      </c>
      <c r="E88" s="167">
        <f>Inputs!E98</f>
        <v>0.23089999999999999</v>
      </c>
      <c r="F88" s="163">
        <f>E88/E86</f>
        <v>0.40935813555482176</v>
      </c>
      <c r="H88" s="167">
        <f>Inputs!F98</f>
        <v>0.23089999999999999</v>
      </c>
      <c r="I88" s="163">
        <f>H88/H86</f>
        <v>0.40935813555482176</v>
      </c>
      <c r="K88" s="24"/>
    </row>
    <row r="89" spans="1:11" ht="15" customHeight="1" x14ac:dyDescent="0.4">
      <c r="B89" s="86" t="s">
        <v>205</v>
      </c>
      <c r="C89" s="256">
        <f>C88*Exchange_Rate/Dashboard!G3</f>
        <v>8.854250355960841E-2</v>
      </c>
      <c r="D89" s="204"/>
      <c r="E89" s="256">
        <f>E88*Exchange_Rate/Dashboard!G3</f>
        <v>5.8866870348153133E-2</v>
      </c>
      <c r="F89" s="204"/>
      <c r="H89" s="256">
        <f>H88*Exchange_Rate/Dashboard!G3</f>
        <v>5.8866870348153133E-2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126</v>
      </c>
    </row>
    <row r="92" spans="1:11" ht="15" customHeight="1" x14ac:dyDescent="0.4">
      <c r="B92" s="10" t="s">
        <v>146</v>
      </c>
      <c r="C92" s="195" t="str">
        <f>Inputs!C15</f>
        <v>CN</v>
      </c>
      <c r="D92" s="10" t="s">
        <v>147</v>
      </c>
      <c r="E92" s="298" t="s">
        <v>191</v>
      </c>
      <c r="F92" s="298"/>
      <c r="G92" s="86"/>
      <c r="H92" s="298" t="s">
        <v>190</v>
      </c>
      <c r="I92" s="298"/>
      <c r="K92" s="24"/>
    </row>
    <row r="93" spans="1:11" ht="15" customHeight="1" x14ac:dyDescent="0.4">
      <c r="B93" s="1" t="str">
        <f>C92&amp;" Discount Rate"</f>
        <v>CN Discount Rate</v>
      </c>
      <c r="C93" s="134">
        <f>IF(C92="CN",Dashboard!C17,IF(C92="US",Dashboard!C12,IF(C92="HK",Dashboard!D12,Dashboard!D17)))</f>
        <v>8.6249999999999993E-2</v>
      </c>
      <c r="D93" s="234">
        <f>Inputs!C86</f>
        <v>5</v>
      </c>
      <c r="E93" s="86" t="s">
        <v>194</v>
      </c>
      <c r="F93" s="142">
        <f>FV(E87,D93,0,-(E86/(C93-D94)))*Exchange_Rate</f>
        <v>17.762897497049124</v>
      </c>
      <c r="H93" s="86" t="s">
        <v>194</v>
      </c>
      <c r="I93" s="142">
        <f>FV(H87,D93,0,-(H86/(C93-D94)))*Exchange_Rate</f>
        <v>17.762897497049124</v>
      </c>
      <c r="K93" s="24"/>
    </row>
    <row r="94" spans="1:11" ht="15" customHeight="1" x14ac:dyDescent="0.4">
      <c r="B94" s="1" t="s">
        <v>196</v>
      </c>
      <c r="C94" s="179">
        <f>Dashboard!G20</f>
        <v>0.15</v>
      </c>
      <c r="D94" s="265">
        <f>Inputs!D87</f>
        <v>0.02</v>
      </c>
      <c r="E94" s="86" t="s">
        <v>195</v>
      </c>
      <c r="F94" s="142">
        <f>FV(E89,D93,0,-(E88/(C93-D94)))*Exchange_Rate</f>
        <v>4.9438825893174885</v>
      </c>
      <c r="H94" s="86" t="s">
        <v>195</v>
      </c>
      <c r="I94" s="142">
        <f>FV(H89,D93,0,-(H88/(C93-D94)))*Exchange_Rate</f>
        <v>4.9438825893174885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110</v>
      </c>
      <c r="K96" s="24"/>
    </row>
    <row r="97" spans="2:11" ht="15" customHeight="1" x14ac:dyDescent="0.4">
      <c r="B97" s="1" t="s">
        <v>124</v>
      </c>
      <c r="C97" s="90">
        <f>H97*Common_Shares/Data!C4</f>
        <v>3090804.9525103918</v>
      </c>
      <c r="D97" s="208"/>
      <c r="E97" s="121">
        <f>PV(C94,D93,0,-F93)</f>
        <v>8.8312993870210477</v>
      </c>
      <c r="F97" s="208"/>
      <c r="H97" s="121">
        <f>PV(C94,D93,0,-I93)</f>
        <v>8.8312993870210477</v>
      </c>
      <c r="I97" s="121">
        <f>PV(C93,D93,0,-I93)</f>
        <v>11.745320237840689</v>
      </c>
      <c r="K97" s="24"/>
    </row>
    <row r="98" spans="2:11" ht="15" customHeight="1" x14ac:dyDescent="0.4">
      <c r="B98" s="28" t="s">
        <v>138</v>
      </c>
      <c r="C98" s="90">
        <f>-E53*Exchange_Rate</f>
        <v>0</v>
      </c>
      <c r="D98" s="208"/>
      <c r="E98" s="208"/>
      <c r="F98" s="208"/>
      <c r="H98" s="121">
        <f>C98*Data!$C$4/Common_Shares</f>
        <v>0</v>
      </c>
      <c r="I98" s="210"/>
      <c r="K98" s="24"/>
    </row>
    <row r="99" spans="2:11" ht="15" customHeight="1" thickBot="1" x14ac:dyDescent="0.45">
      <c r="B99" s="104" t="s">
        <v>139</v>
      </c>
      <c r="C99" s="107">
        <f>(E65+IF(E70&lt;0,E70,0))*Exchange_Rate</f>
        <v>0</v>
      </c>
      <c r="D99" s="209"/>
      <c r="E99" s="143">
        <f>IF(H99&gt;0,H99*(1-C94),H99*(1+C94))</f>
        <v>0</v>
      </c>
      <c r="F99" s="209"/>
      <c r="H99" s="143">
        <f>C99*Data!$C$4/Common_Shares</f>
        <v>0</v>
      </c>
      <c r="I99" s="211"/>
      <c r="K99" s="24"/>
    </row>
    <row r="100" spans="2:11" ht="15" customHeight="1" thickTop="1" x14ac:dyDescent="0.4">
      <c r="B100" s="1" t="s">
        <v>110</v>
      </c>
      <c r="C100" s="90">
        <f>C97+C98+$C$99</f>
        <v>3090804.9525103918</v>
      </c>
      <c r="D100" s="108">
        <f>MIN(F100*(1-C94),E100)</f>
        <v>7.5066044789678905</v>
      </c>
      <c r="E100" s="108">
        <f>MAX(E97+H98+E99,0)</f>
        <v>8.8312993870210477</v>
      </c>
      <c r="F100" s="108">
        <f>(E100+H100)/2</f>
        <v>8.8312993870210477</v>
      </c>
      <c r="H100" s="108">
        <f>MAX(C100*Data!$C$4/Common_Shares,0)</f>
        <v>8.8312993870210477</v>
      </c>
      <c r="I100" s="108">
        <f>MAX(I97+H98+H99,0)</f>
        <v>11.745320237840689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153</v>
      </c>
      <c r="C102" s="125" t="str">
        <f>C96</f>
        <v>HKD</v>
      </c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110</v>
      </c>
      <c r="K102" s="24"/>
    </row>
    <row r="103" spans="2:11" ht="15" customHeight="1" x14ac:dyDescent="0.4">
      <c r="B103" s="1" t="s">
        <v>152</v>
      </c>
      <c r="C103" s="90">
        <f>H103*Common_Shares/Data!C4</f>
        <v>860252.48945060279</v>
      </c>
      <c r="D103" s="108">
        <f>MIN(F103*(1-C94),E103)</f>
        <v>2.0892858946366859</v>
      </c>
      <c r="E103" s="121">
        <f>PV(C94,D93,0,-F94)</f>
        <v>2.4579834054549248</v>
      </c>
      <c r="F103" s="108">
        <f>(E103+H103)/2</f>
        <v>2.4579834054549248</v>
      </c>
      <c r="H103" s="121">
        <f>PV(C94,D93,0,-I94)</f>
        <v>2.4579834054549248</v>
      </c>
      <c r="I103" s="108">
        <f>PV(C93,D93,0,-I94)</f>
        <v>3.2690322195162942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182</v>
      </c>
      <c r="C105" s="125" t="str">
        <f>C102</f>
        <v>HKD</v>
      </c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110</v>
      </c>
      <c r="K105" s="24"/>
    </row>
    <row r="106" spans="2:11" ht="15" customHeight="1" x14ac:dyDescent="0.4">
      <c r="B106" s="1" t="s">
        <v>183</v>
      </c>
      <c r="C106" s="90">
        <f>E106*Common_Shares/Data!C4</f>
        <v>1975528.7209804973</v>
      </c>
      <c r="D106" s="108">
        <f>(D100+D103)/2</f>
        <v>4.7979451868022878</v>
      </c>
      <c r="E106" s="121">
        <f>(E100+E103)/2</f>
        <v>5.6446413962379864</v>
      </c>
      <c r="F106" s="108">
        <f>(F100+F103)/2</f>
        <v>5.6446413962379864</v>
      </c>
      <c r="H106" s="121">
        <f>(H100+H103)/2</f>
        <v>5.6446413962379864</v>
      </c>
      <c r="I106" s="121">
        <f>(I100+I103)/2</f>
        <v>7.5071762286784915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156</v>
      </c>
      <c r="C108" s="126" t="str">
        <f>Inputs!C87</f>
        <v>Dividend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2024-12-20T09:15:50Z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