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36C33ED-207E-4F11-AD1B-379D050E42C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F94" i="4"/>
  <c r="F93" i="4"/>
  <c r="E93" i="4"/>
  <c r="F92" i="4"/>
  <c r="F91" i="4"/>
  <c r="F96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37" i="4"/>
  <c r="E37" i="4"/>
  <c r="D37" i="4"/>
  <c r="C37" i="4"/>
  <c r="B47" i="4"/>
  <c r="C49" i="3"/>
  <c r="J56" i="2"/>
  <c r="D4" i="3"/>
  <c r="D3" i="3"/>
  <c r="I3" i="3" s="1"/>
  <c r="I49" i="3"/>
  <c r="C34" i="2"/>
  <c r="C56" i="2" s="1"/>
  <c r="C30" i="2"/>
  <c r="E34" i="2"/>
  <c r="E56" i="2" s="1"/>
  <c r="F34" i="2"/>
  <c r="F56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E95" i="4" l="1"/>
  <c r="D53" i="4"/>
  <c r="K56" i="2"/>
  <c r="I56" i="2"/>
  <c r="H56" i="2"/>
  <c r="G56" i="2"/>
  <c r="D27" i="2"/>
  <c r="F27" i="2"/>
  <c r="M56" i="2"/>
  <c r="E27" i="2"/>
  <c r="L56" i="2"/>
  <c r="D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I58" i="2" l="1"/>
  <c r="I22" i="2"/>
  <c r="I59" i="2" s="1"/>
  <c r="J58" i="2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<sst xmlns="http://schemas.openxmlformats.org/spreadsheetml/2006/main" count="392" uniqueCount="277">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</sst>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269</v>
      </c>
    </row>
    <row r="5" spans="1:5" ht="13.9" x14ac:dyDescent="0.4">
      <c r="B5" s="139" t="s">
        <v>181</v>
      </c>
      <c r="C5" s="188" t="s">
        <v>270</v>
      </c>
    </row>
    <row r="6" spans="1:5" ht="13.9" x14ac:dyDescent="0.4">
      <c r="B6" s="139" t="s">
        <v>155</v>
      </c>
      <c r="C6" s="186">
        <v>45593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271</v>
      </c>
      <c r="E8" s="262"/>
    </row>
    <row r="9" spans="1:5" ht="13.9" x14ac:dyDescent="0.4">
      <c r="B9" s="138" t="s">
        <v>202</v>
      </c>
      <c r="C9" s="189" t="s">
        <v>228</v>
      </c>
    </row>
    <row r="10" spans="1:5" ht="13.9" x14ac:dyDescent="0.4">
      <c r="B10" s="138" t="s">
        <v>203</v>
      </c>
      <c r="C10" s="190">
        <v>9987736800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45382</v>
      </c>
    </row>
    <row r="13" spans="1:5" ht="13.9" x14ac:dyDescent="0.4">
      <c r="B13" s="213" t="s">
        <v>11</v>
      </c>
      <c r="C13" s="215">
        <v>1000000</v>
      </c>
    </row>
    <row r="14" spans="1:5" ht="13.9" x14ac:dyDescent="0.4">
      <c r="B14" s="213" t="s">
        <v>205</v>
      </c>
      <c r="C14" s="214">
        <v>45565</v>
      </c>
    </row>
    <row r="15" spans="1:5" ht="13.9" x14ac:dyDescent="0.4">
      <c r="B15" s="213" t="s">
        <v>237</v>
      </c>
      <c r="C15" s="173" t="s">
        <v>176</v>
      </c>
    </row>
    <row r="16" spans="1:5" ht="13.9" x14ac:dyDescent="0.4">
      <c r="B16" s="217" t="s">
        <v>93</v>
      </c>
      <c r="C16" s="218">
        <v>0.25</v>
      </c>
      <c r="D16" s="24"/>
      <c r="E16" s="109" t="s">
        <v>268</v>
      </c>
    </row>
    <row r="17" spans="2:13" ht="13.9" x14ac:dyDescent="0.4">
      <c r="B17" s="235" t="s">
        <v>209</v>
      </c>
      <c r="C17" s="237" t="s">
        <v>272</v>
      </c>
      <c r="D17" s="24"/>
    </row>
    <row r="18" spans="2:13" ht="13.9" x14ac:dyDescent="0.4">
      <c r="B18" s="235" t="s">
        <v>223</v>
      </c>
      <c r="C18" s="237" t="s">
        <v>229</v>
      </c>
      <c r="D18" s="24"/>
    </row>
    <row r="19" spans="2:13" ht="13.9" x14ac:dyDescent="0.4">
      <c r="B19" s="235" t="s">
        <v>224</v>
      </c>
      <c r="C19" s="237" t="s">
        <v>273</v>
      </c>
      <c r="D19" s="24"/>
    </row>
    <row r="20" spans="2:13" ht="13.9" x14ac:dyDescent="0.4">
      <c r="B20" s="236" t="s">
        <v>213</v>
      </c>
      <c r="C20" s="237" t="s">
        <v>273</v>
      </c>
      <c r="D20" s="24"/>
    </row>
    <row r="21" spans="2:13" ht="13.9" x14ac:dyDescent="0.4">
      <c r="B21" s="219" t="s">
        <v>216</v>
      </c>
      <c r="C21" s="237" t="s">
        <v>272</v>
      </c>
      <c r="D21" s="24"/>
    </row>
    <row r="22" spans="2:13" ht="78.75" x14ac:dyDescent="0.4">
      <c r="B22" s="221" t="s">
        <v>215</v>
      </c>
      <c r="C22" s="238" t="s">
        <v>274</v>
      </c>
      <c r="D22" s="24"/>
    </row>
    <row r="24" spans="2:13" ht="13.9" x14ac:dyDescent="0.4">
      <c r="B24" s="114" t="s">
        <v>128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3" t="s">
        <v>12</v>
      </c>
      <c r="C25" s="147">
        <v>108713</v>
      </c>
      <c r="D25" s="147">
        <v>94684.4</v>
      </c>
      <c r="E25" s="147">
        <v>98937.7</v>
      </c>
      <c r="F25" s="147">
        <v>70163.8</v>
      </c>
      <c r="G25" s="147">
        <v>56750.8</v>
      </c>
      <c r="H25" s="147">
        <v>66660.899999999994</v>
      </c>
      <c r="I25" s="147">
        <v>59156.4</v>
      </c>
      <c r="J25" s="147">
        <v>51245.5</v>
      </c>
      <c r="K25" s="147"/>
      <c r="L25" s="147"/>
      <c r="M25" s="147"/>
    </row>
    <row r="26" spans="2:13" ht="13.9" x14ac:dyDescent="0.4">
      <c r="B26" s="96" t="s">
        <v>102</v>
      </c>
      <c r="C26" s="148">
        <v>86428</v>
      </c>
      <c r="D26" s="148">
        <v>73512.899999999994</v>
      </c>
      <c r="E26" s="148">
        <v>76598</v>
      </c>
      <c r="F26" s="148">
        <v>50089.1</v>
      </c>
      <c r="G26" s="148">
        <v>40654.6</v>
      </c>
      <c r="H26" s="148">
        <v>48059.1</v>
      </c>
      <c r="I26" s="148">
        <v>42943</v>
      </c>
      <c r="J26" s="148">
        <v>36282.800000000003</v>
      </c>
      <c r="K26" s="148"/>
      <c r="L26" s="148"/>
      <c r="M26" s="148"/>
    </row>
    <row r="27" spans="2:13" ht="13.9" x14ac:dyDescent="0.4">
      <c r="B27" s="96" t="s">
        <v>100</v>
      </c>
      <c r="C27" s="148">
        <v>13300.2</v>
      </c>
      <c r="D27" s="148">
        <v>13695.699999999999</v>
      </c>
      <c r="E27" s="148">
        <v>14003.8</v>
      </c>
      <c r="F27" s="148">
        <v>11888.399999999998</v>
      </c>
      <c r="G27" s="148">
        <v>11596.6</v>
      </c>
      <c r="H27" s="148">
        <v>12064.3</v>
      </c>
      <c r="I27" s="148">
        <v>10960.1</v>
      </c>
      <c r="J27" s="148">
        <v>10347.099999999999</v>
      </c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704.6</v>
      </c>
      <c r="D29" s="148">
        <v>585.4</v>
      </c>
      <c r="E29" s="148">
        <v>337.7</v>
      </c>
      <c r="F29" s="148">
        <v>376</v>
      </c>
      <c r="G29" s="148">
        <v>559.6</v>
      </c>
      <c r="H29" s="148">
        <v>370.3</v>
      </c>
      <c r="I29" s="148">
        <v>243.7</v>
      </c>
      <c r="J29" s="148">
        <v>236.6</v>
      </c>
      <c r="K29" s="148"/>
      <c r="L29" s="148"/>
      <c r="M29" s="148"/>
    </row>
    <row r="30" spans="2:13" ht="13.9" x14ac:dyDescent="0.4">
      <c r="B30" s="98" t="s">
        <v>107</v>
      </c>
      <c r="C30" s="148">
        <v>107.9</v>
      </c>
      <c r="D30" s="148">
        <v>105.1</v>
      </c>
      <c r="E30" s="148">
        <v>167.6</v>
      </c>
      <c r="F30" s="148">
        <v>149.69999999999999</v>
      </c>
      <c r="G30" s="148">
        <v>82.1</v>
      </c>
      <c r="H30" s="148">
        <v>107.2</v>
      </c>
      <c r="I30" s="148">
        <v>108.4</v>
      </c>
      <c r="J30" s="148">
        <v>95.8</v>
      </c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f>(58068800+2412200)/1000</f>
        <v>60481</v>
      </c>
      <c r="D37" s="148">
        <f>(51021500+2959200)/1000</f>
        <v>53980.7</v>
      </c>
      <c r="E37" s="148">
        <f>(49629400+3553200)/1000</f>
        <v>53182.6</v>
      </c>
      <c r="F37" s="148">
        <f>(29142200+3598400)/1000</f>
        <v>32740.6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26381.4</v>
      </c>
      <c r="D41" s="148">
        <v>33359.800000000003</v>
      </c>
      <c r="E41" s="148">
        <v>34554.699999999997</v>
      </c>
      <c r="F41" s="148">
        <v>31567.599999999999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1036.4000000000001</v>
      </c>
      <c r="D42" s="148">
        <v>962.4</v>
      </c>
      <c r="E42" s="148">
        <v>935.4</v>
      </c>
      <c r="F42" s="148">
        <v>800.5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0.3+0.25</f>
        <v>0.55000000000000004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8.3207261724659615E-2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4">
        <v>5</v>
      </c>
    </row>
    <row r="87" spans="2:8" ht="13.9" x14ac:dyDescent="0.4">
      <c r="B87" s="10" t="s">
        <v>232</v>
      </c>
      <c r="C87" s="231" t="s">
        <v>275</v>
      </c>
      <c r="D87" s="264">
        <v>0.02</v>
      </c>
    </row>
    <row r="89" spans="2:8" ht="13.5" x14ac:dyDescent="0.35">
      <c r="B89" s="105" t="s">
        <v>122</v>
      </c>
      <c r="C89" s="284">
        <f>C24</f>
        <v>45382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108713</v>
      </c>
      <c r="D91" s="204"/>
      <c r="E91" s="246">
        <f>C91</f>
        <v>108713</v>
      </c>
      <c r="F91" s="246">
        <f>C91</f>
        <v>108713</v>
      </c>
    </row>
    <row r="92" spans="2:8" ht="13.9" x14ac:dyDescent="0.4">
      <c r="B92" s="103" t="s">
        <v>102</v>
      </c>
      <c r="C92" s="77">
        <f>C26</f>
        <v>86428</v>
      </c>
      <c r="D92" s="156">
        <f>C92/C91</f>
        <v>0.79501071628968012</v>
      </c>
      <c r="E92" s="247">
        <f>E91*D92</f>
        <v>86428</v>
      </c>
      <c r="F92" s="247">
        <f>F91*D92</f>
        <v>86428</v>
      </c>
    </row>
    <row r="93" spans="2:8" ht="13.9" x14ac:dyDescent="0.4">
      <c r="B93" s="103" t="s">
        <v>231</v>
      </c>
      <c r="C93" s="77">
        <f>C27+C28</f>
        <v>13300.2</v>
      </c>
      <c r="D93" s="156">
        <f>C93/C91</f>
        <v>0.12234231416665901</v>
      </c>
      <c r="E93" s="247">
        <f>E91*D93</f>
        <v>13300.2</v>
      </c>
      <c r="F93" s="247">
        <f>F91*D93</f>
        <v>13300.2</v>
      </c>
    </row>
    <row r="94" spans="2:8" ht="13.9" x14ac:dyDescent="0.4">
      <c r="B94" s="103" t="s">
        <v>238</v>
      </c>
      <c r="C94" s="77">
        <f>C29</f>
        <v>704.6</v>
      </c>
      <c r="D94" s="156">
        <f>C94/C91</f>
        <v>6.4812855868203439E-3</v>
      </c>
      <c r="E94" s="248"/>
      <c r="F94" s="247">
        <f>F91*D94</f>
        <v>704.6</v>
      </c>
    </row>
    <row r="95" spans="2:8" ht="13.9" x14ac:dyDescent="0.4">
      <c r="B95" s="28" t="s">
        <v>230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143.86666666666667</v>
      </c>
      <c r="D97" s="156">
        <f>C97/C91</f>
        <v>1.3233621247382252E-3</v>
      </c>
      <c r="E97" s="248"/>
      <c r="F97" s="247">
        <f>F91*D97</f>
        <v>143.86666666666667</v>
      </c>
    </row>
    <row r="98" spans="2:7" ht="13.9" x14ac:dyDescent="0.4">
      <c r="B98" s="85" t="s">
        <v>193</v>
      </c>
      <c r="C98" s="232">
        <f>C44</f>
        <v>0.55000000000000004</v>
      </c>
      <c r="D98" s="261"/>
      <c r="E98" s="249">
        <f>F98*0.8</f>
        <v>0.44000000000000006</v>
      </c>
      <c r="F98" s="249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1929.HK</v>
      </c>
      <c r="D3" s="291"/>
      <c r="E3" s="86"/>
      <c r="F3" s="3" t="s">
        <v>1</v>
      </c>
      <c r="G3" s="130">
        <v>6.61</v>
      </c>
      <c r="H3" s="132" t="s">
        <v>276</v>
      </c>
    </row>
    <row r="4" spans="1:10" ht="15.75" customHeight="1" x14ac:dyDescent="0.4">
      <c r="B4" s="35" t="s">
        <v>181</v>
      </c>
      <c r="C4" s="292" t="str">
        <f>Inputs!C5</f>
        <v>周大福</v>
      </c>
      <c r="D4" s="293"/>
      <c r="E4" s="86"/>
      <c r="F4" s="3" t="s">
        <v>3</v>
      </c>
      <c r="G4" s="296">
        <f>Inputs!C10</f>
        <v>9987736800</v>
      </c>
      <c r="H4" s="296"/>
      <c r="I4" s="39"/>
    </row>
    <row r="5" spans="1:10" ht="15.75" customHeight="1" x14ac:dyDescent="0.4">
      <c r="B5" s="3" t="s">
        <v>155</v>
      </c>
      <c r="C5" s="294">
        <f>Inputs!C6</f>
        <v>45593</v>
      </c>
      <c r="D5" s="295"/>
      <c r="E5" s="34"/>
      <c r="F5" s="35" t="s">
        <v>96</v>
      </c>
      <c r="G5" s="288">
        <f>G3*G4/1000000</f>
        <v>66018.940247999999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45808</v>
      </c>
      <c r="E6" s="51">
        <f>IF(Fin_Analysis!E9="FY",Fin_Analysis!D9,Data!C3)</f>
        <v>45382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 xml:space="preserve">Superior Cycl. 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0.34882356809364112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8.1323607418922597E-2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1.2515541822468641</v>
      </c>
      <c r="F22" s="140" t="s">
        <v>171</v>
      </c>
    </row>
    <row r="23" spans="1:8" ht="15.75" customHeight="1" thickBot="1" x14ac:dyDescent="0.45">
      <c r="B23" s="275" t="s">
        <v>267</v>
      </c>
      <c r="C23" s="282">
        <f>1/Data!C53</f>
        <v>3.4272006312882226</v>
      </c>
      <c r="F23" s="138" t="s">
        <v>175</v>
      </c>
      <c r="G23" s="174">
        <f>G3/(Data!C34*Data!C4/Common_Shares*Exchange_Rate)</f>
        <v>2.5024805449293819</v>
      </c>
    </row>
    <row r="24" spans="1:8" ht="15.75" customHeight="1" x14ac:dyDescent="0.4">
      <c r="B24" s="280" t="s">
        <v>255</v>
      </c>
      <c r="C24" s="281">
        <f>Fin_Analysis!I81</f>
        <v>6.4812855868203439E-3</v>
      </c>
      <c r="F24" s="138" t="s">
        <v>240</v>
      </c>
      <c r="G24" s="263">
        <f>G3/(Fin_Analysis!H86*G7)</f>
        <v>10.818786553812121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162</v>
      </c>
      <c r="G25" s="168">
        <f>Fin_Analysis!I88</f>
        <v>0.90020160432627339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179</v>
      </c>
      <c r="G26" s="175">
        <f>Fin_Analysis!H88*Exchange_Rate/G3</f>
        <v>8.3207261724659615E-2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4.9753000582772593</v>
      </c>
      <c r="D29" s="127">
        <f>G29*(1+G20)</f>
        <v>10.558240231127462</v>
      </c>
      <c r="E29" s="86"/>
      <c r="F29" s="129">
        <f>IF(Fin_Analysis!C108="Profit",Fin_Analysis!F100,IF(Fin_Analysis!C108="Dividend",Fin_Analysis!F103,Fin_Analysis!F106))</f>
        <v>5.8532941862085401</v>
      </c>
      <c r="G29" s="287">
        <f>IF(Fin_Analysis!C108="Profit",Fin_Analysis!I100,IF(Fin_Analysis!C108="Dividend",Fin_Analysis!I103,Fin_Analysis!I106))</f>
        <v>9.1810784618499675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45382</v>
      </c>
      <c r="E3" s="144" t="s">
        <v>186</v>
      </c>
      <c r="F3" s="84">
        <f>H14</f>
        <v>6394.566666666663</v>
      </c>
      <c r="G3" s="84">
        <f>C14</f>
        <v>8840.9333333333325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1000000</v>
      </c>
      <c r="D4" s="1" t="str">
        <f>Dashboard!G6</f>
        <v>HKD</v>
      </c>
      <c r="E4" s="144" t="s">
        <v>187</v>
      </c>
      <c r="F4" s="92">
        <f>(G3/F3)^(1/H3)-1</f>
        <v>5.5474712364703915E-2</v>
      </c>
      <c r="J4" s="86"/>
    </row>
    <row r="5" spans="1:14" ht="15.75" customHeight="1" x14ac:dyDescent="0.4">
      <c r="A5" s="16"/>
      <c r="B5" s="114" t="s">
        <v>128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3" t="s">
        <v>12</v>
      </c>
      <c r="C6" s="197">
        <f>IF(Inputs!C25=""," ",Inputs!C25)</f>
        <v>108713</v>
      </c>
      <c r="D6" s="197">
        <f>IF(Inputs!D25="","",Inputs!D25)</f>
        <v>94684.4</v>
      </c>
      <c r="E6" s="197">
        <f>IF(Inputs!E25="","",Inputs!E25)</f>
        <v>98937.7</v>
      </c>
      <c r="F6" s="197">
        <f>IF(Inputs!F25="","",Inputs!F25)</f>
        <v>70163.8</v>
      </c>
      <c r="G6" s="197">
        <f>IF(Inputs!G25="","",Inputs!G25)</f>
        <v>56750.8</v>
      </c>
      <c r="H6" s="197">
        <f>IF(Inputs!H25="","",Inputs!H25)</f>
        <v>66660.899999999994</v>
      </c>
      <c r="I6" s="197">
        <f>IF(Inputs!I25="","",Inputs!I25)</f>
        <v>59156.4</v>
      </c>
      <c r="J6" s="197">
        <f>IF(Inputs!J25="","",Inputs!J25)</f>
        <v>51245.5</v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0.14816168238907368</v>
      </c>
      <c r="D7" s="91">
        <f t="shared" si="1"/>
        <v>-4.2989679363882538E-2</v>
      </c>
      <c r="E7" s="91">
        <f t="shared" si="1"/>
        <v>0.41009608943643294</v>
      </c>
      <c r="F7" s="91">
        <f t="shared" si="1"/>
        <v>0.23634909111413416</v>
      </c>
      <c r="G7" s="91">
        <f t="shared" si="1"/>
        <v>-0.14866435946709378</v>
      </c>
      <c r="H7" s="91">
        <f t="shared" si="1"/>
        <v>0.12685863237113804</v>
      </c>
      <c r="I7" s="91">
        <f t="shared" si="1"/>
        <v>0.15437257905572199</v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86428</v>
      </c>
      <c r="D8" s="196">
        <f>IF(Inputs!D26="","",Inputs!D26)</f>
        <v>73512.899999999994</v>
      </c>
      <c r="E8" s="196">
        <f>IF(Inputs!E26="","",Inputs!E26)</f>
        <v>76598</v>
      </c>
      <c r="F8" s="196">
        <f>IF(Inputs!F26="","",Inputs!F26)</f>
        <v>50089.1</v>
      </c>
      <c r="G8" s="196">
        <f>IF(Inputs!G26="","",Inputs!G26)</f>
        <v>40654.6</v>
      </c>
      <c r="H8" s="196">
        <f>IF(Inputs!H26="","",Inputs!H26)</f>
        <v>48059.1</v>
      </c>
      <c r="I8" s="196">
        <f>IF(Inputs!I26="","",Inputs!I26)</f>
        <v>42943</v>
      </c>
      <c r="J8" s="196">
        <f>IF(Inputs!J26="","",Inputs!J26)</f>
        <v>36282.800000000003</v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22285</v>
      </c>
      <c r="D9" s="149">
        <f t="shared" si="2"/>
        <v>21171.5</v>
      </c>
      <c r="E9" s="149">
        <f t="shared" si="2"/>
        <v>22339.699999999997</v>
      </c>
      <c r="F9" s="149">
        <f t="shared" si="2"/>
        <v>20074.700000000004</v>
      </c>
      <c r="G9" s="149">
        <f t="shared" si="2"/>
        <v>16096.200000000004</v>
      </c>
      <c r="H9" s="149">
        <f t="shared" si="2"/>
        <v>18601.799999999996</v>
      </c>
      <c r="I9" s="149">
        <f t="shared" si="2"/>
        <v>16213.400000000001</v>
      </c>
      <c r="J9" s="149">
        <f t="shared" si="2"/>
        <v>14962.699999999997</v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13300.2</v>
      </c>
      <c r="D10" s="196">
        <f>IF(Inputs!D27="","",Inputs!D27)</f>
        <v>13695.699999999999</v>
      </c>
      <c r="E10" s="196">
        <f>IF(Inputs!E27="","",Inputs!E27)</f>
        <v>14003.8</v>
      </c>
      <c r="F10" s="196">
        <f>IF(Inputs!F27="","",Inputs!F27)</f>
        <v>11888.399999999998</v>
      </c>
      <c r="G10" s="196">
        <f>IF(Inputs!G27="","",Inputs!G27)</f>
        <v>11596.6</v>
      </c>
      <c r="H10" s="196">
        <f>IF(Inputs!H27="","",Inputs!H27)</f>
        <v>12064.3</v>
      </c>
      <c r="I10" s="196">
        <f>IF(Inputs!I27="","",Inputs!I27)</f>
        <v>10960.1</v>
      </c>
      <c r="J10" s="196">
        <f>IF(Inputs!J27="","",Inputs!J27)</f>
        <v>10347.099999999999</v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143.86666666666667</v>
      </c>
      <c r="D12" s="196">
        <f>IF(Inputs!D30="","",MAX(Inputs!D30,0)/(1-Fin_Analysis!$I$84))</f>
        <v>140.13333333333333</v>
      </c>
      <c r="E12" s="196">
        <f>IF(Inputs!E30="","",MAX(Inputs!E30,0)/(1-Fin_Analysis!$I$84))</f>
        <v>223.46666666666667</v>
      </c>
      <c r="F12" s="196">
        <f>IF(Inputs!F30="","",MAX(Inputs!F30,0)/(1-Fin_Analysis!$I$84))</f>
        <v>199.6</v>
      </c>
      <c r="G12" s="196">
        <f>IF(Inputs!G30="","",MAX(Inputs!G30,0)/(1-Fin_Analysis!$I$84))</f>
        <v>109.46666666666665</v>
      </c>
      <c r="H12" s="196">
        <f>IF(Inputs!H30="","",MAX(Inputs!H30,0)/(1-Fin_Analysis!$I$84))</f>
        <v>142.93333333333334</v>
      </c>
      <c r="I12" s="196">
        <f>IF(Inputs!I30="","",MAX(Inputs!I30,0)/(1-Fin_Analysis!$I$84))</f>
        <v>144.53333333333333</v>
      </c>
      <c r="J12" s="196">
        <f>IF(Inputs!J30="","",MAX(Inputs!J30,0)/(1-Fin_Analysis!$I$84))</f>
        <v>127.73333333333333</v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8.1323607418922597E-2</v>
      </c>
      <c r="D13" s="224">
        <f t="shared" si="3"/>
        <v>7.7474923711473784E-2</v>
      </c>
      <c r="E13" s="224">
        <f t="shared" si="3"/>
        <v>8.1995370150441463E-2</v>
      </c>
      <c r="F13" s="224">
        <f t="shared" si="3"/>
        <v>0.11382935359829437</v>
      </c>
      <c r="G13" s="224">
        <f t="shared" si="3"/>
        <v>7.7358087169402678E-2</v>
      </c>
      <c r="H13" s="224">
        <f t="shared" si="3"/>
        <v>9.5926797667998234E-2</v>
      </c>
      <c r="I13" s="224">
        <f t="shared" si="3"/>
        <v>8.6360337455738803E-2</v>
      </c>
      <c r="J13" s="224">
        <f t="shared" si="3"/>
        <v>8.7575819665466528E-2</v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8840.9333333333325</v>
      </c>
      <c r="D14" s="225">
        <f t="shared" ref="D14:M14" si="4">IF(D6="","",D9-D10-MAX(D11,0)-MAX(D12,0))</f>
        <v>7335.6666666666679</v>
      </c>
      <c r="E14" s="225">
        <f t="shared" si="4"/>
        <v>8112.4333333333316</v>
      </c>
      <c r="F14" s="225">
        <f t="shared" si="4"/>
        <v>7986.7000000000062</v>
      </c>
      <c r="G14" s="225">
        <f t="shared" si="4"/>
        <v>4390.1333333333378</v>
      </c>
      <c r="H14" s="225">
        <f t="shared" si="4"/>
        <v>6394.566666666663</v>
      </c>
      <c r="I14" s="225">
        <f t="shared" si="4"/>
        <v>5108.7666666666673</v>
      </c>
      <c r="J14" s="225">
        <f t="shared" si="4"/>
        <v>4487.866666666665</v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0.20519834598082398</v>
      </c>
      <c r="D15" s="227">
        <f t="shared" ref="D15:M15" si="5">IF(E14="","",IF(ABS(D14+E14)=ABS(D14)+ABS(E14),IF(D14&lt;0,-1,1)*(D14-E14)/E14,"Turn"))</f>
        <v>-9.5750144839402543E-2</v>
      </c>
      <c r="E15" s="227">
        <f t="shared" si="5"/>
        <v>1.5742839136730476E-2</v>
      </c>
      <c r="F15" s="227">
        <f t="shared" si="5"/>
        <v>0.8192385956387046</v>
      </c>
      <c r="G15" s="227">
        <f t="shared" si="5"/>
        <v>-0.31345882181226664</v>
      </c>
      <c r="H15" s="227">
        <f t="shared" si="5"/>
        <v>0.25168501203812965</v>
      </c>
      <c r="I15" s="227">
        <f t="shared" si="5"/>
        <v>0.1383508125612769</v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704.6</v>
      </c>
      <c r="D17" s="196">
        <f>IF(Inputs!D29="","",Inputs!D29)</f>
        <v>585.4</v>
      </c>
      <c r="E17" s="196">
        <f>IF(Inputs!E29="","",Inputs!E29)</f>
        <v>337.7</v>
      </c>
      <c r="F17" s="196">
        <f>IF(Inputs!F29="","",Inputs!F29)</f>
        <v>376</v>
      </c>
      <c r="G17" s="196">
        <f>IF(Inputs!G29="","",Inputs!G29)</f>
        <v>559.6</v>
      </c>
      <c r="H17" s="196">
        <f>IF(Inputs!H29="","",Inputs!H29)</f>
        <v>370.3</v>
      </c>
      <c r="I17" s="196">
        <f>IF(Inputs!I29="","",Inputs!I29)</f>
        <v>243.7</v>
      </c>
      <c r="J17" s="196">
        <f>IF(Inputs!J29="","",Inputs!J29)</f>
        <v>236.6</v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>
        <f t="shared" si="7"/>
        <v>0</v>
      </c>
      <c r="I20" s="150">
        <f t="shared" si="7"/>
        <v>0</v>
      </c>
      <c r="J20" s="150">
        <f t="shared" si="7"/>
        <v>0</v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8136.3333333333321</v>
      </c>
      <c r="D22" s="158">
        <f t="shared" ref="D22:M22" si="8">IF(D6="","",D14-MAX(D16,0)-MAX(D17,0)-ABS(MAX(D21,0)-MAX(D19,0)))</f>
        <v>6750.2666666666682</v>
      </c>
      <c r="E22" s="158">
        <f t="shared" si="8"/>
        <v>7774.7333333333318</v>
      </c>
      <c r="F22" s="158">
        <f t="shared" si="8"/>
        <v>7610.7000000000062</v>
      </c>
      <c r="G22" s="158">
        <f t="shared" si="8"/>
        <v>3830.5333333333379</v>
      </c>
      <c r="H22" s="158">
        <f t="shared" si="8"/>
        <v>6024.2666666666628</v>
      </c>
      <c r="I22" s="158">
        <f t="shared" si="8"/>
        <v>4865.0666666666675</v>
      </c>
      <c r="J22" s="158">
        <f t="shared" si="8"/>
        <v>4251.2666666666646</v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5.6131741374076692E-2</v>
      </c>
      <c r="D23" s="151">
        <f t="shared" si="9"/>
        <v>5.346920928896419E-2</v>
      </c>
      <c r="E23" s="151">
        <f t="shared" si="9"/>
        <v>5.8936583324657836E-2</v>
      </c>
      <c r="F23" s="151">
        <f t="shared" si="9"/>
        <v>8.1352848619943685E-2</v>
      </c>
      <c r="G23" s="151">
        <f t="shared" si="9"/>
        <v>5.0623074917005628E-2</v>
      </c>
      <c r="H23" s="151">
        <f t="shared" si="9"/>
        <v>6.7778862871638354E-2</v>
      </c>
      <c r="I23" s="151">
        <f t="shared" si="9"/>
        <v>6.1680562035553221E-2</v>
      </c>
      <c r="J23" s="151">
        <f t="shared" si="9"/>
        <v>6.2219121678976662E-2</v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0.20533509787267629</v>
      </c>
      <c r="D25" s="228">
        <f t="shared" ref="D25:M25" si="10">IF(E24="","",IF(ABS(D24+E24)=ABS(D24)+ABS(E24),IF(D24&lt;0,-1,1)*(D24-E24)/E24,"Turn"))</f>
        <v>-0.13176872089932321</v>
      </c>
      <c r="E25" s="228">
        <f t="shared" si="10"/>
        <v>2.1552988993565038E-2</v>
      </c>
      <c r="F25" s="228">
        <f t="shared" si="10"/>
        <v>0.98685126527202427</v>
      </c>
      <c r="G25" s="228">
        <f t="shared" si="10"/>
        <v>-0.36414944004249367</v>
      </c>
      <c r="H25" s="228">
        <f t="shared" si="10"/>
        <v>0.23827011620258615</v>
      </c>
      <c r="I25" s="228">
        <f t="shared" si="10"/>
        <v>0.14438049836127348</v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86862.399999999994</v>
      </c>
      <c r="D27" s="65">
        <f>IF(D34="","",D34+D30)</f>
        <v>87340.5</v>
      </c>
      <c r="E27" s="65">
        <f t="shared" ref="E27:M27" si="20">IF(E34="","",E34+E30)</f>
        <v>87737.299999999988</v>
      </c>
      <c r="F27" s="65">
        <f t="shared" si="20"/>
        <v>64308.2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60481</v>
      </c>
      <c r="D30" s="196">
        <f>IF(Inputs!D37="","",Inputs!D37)</f>
        <v>53980.7</v>
      </c>
      <c r="E30" s="196">
        <f>IF(Inputs!E37="","",Inputs!E37)</f>
        <v>53182.6</v>
      </c>
      <c r="F30" s="196">
        <f>IF(Inputs!F37="","",Inputs!F37)</f>
        <v>32740.6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26381.4</v>
      </c>
      <c r="D34" s="196">
        <f>IF(Inputs!D41="","",Inputs!D41)</f>
        <v>33359.800000000003</v>
      </c>
      <c r="E34" s="196">
        <f>IF(Inputs!E41="","",Inputs!E41)</f>
        <v>34554.699999999997</v>
      </c>
      <c r="F34" s="196">
        <f>IF(Inputs!F41="","",Inputs!F41)</f>
        <v>31567.599999999999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1036.4000000000001</v>
      </c>
      <c r="D35" s="196">
        <f>IF(Inputs!D42="","",Inputs!D42)</f>
        <v>962.4</v>
      </c>
      <c r="E35" s="196">
        <f>IF(Inputs!E42="","",Inputs!E42)</f>
        <v>935.4</v>
      </c>
      <c r="F35" s="196">
        <f>IF(Inputs!F42="","",Inputs!F42)</f>
        <v>800.5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86862.399999999994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0.10178090098055469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0.79501071628968012</v>
      </c>
      <c r="D40" s="154">
        <f t="shared" si="34"/>
        <v>0.77639928013484794</v>
      </c>
      <c r="E40" s="154">
        <f t="shared" si="34"/>
        <v>0.77420437305496292</v>
      </c>
      <c r="F40" s="154">
        <f t="shared" si="34"/>
        <v>0.71388807333696291</v>
      </c>
      <c r="G40" s="154">
        <f t="shared" si="34"/>
        <v>0.71637051812485453</v>
      </c>
      <c r="H40" s="154">
        <f t="shared" si="34"/>
        <v>0.72094886207656972</v>
      </c>
      <c r="I40" s="154">
        <f t="shared" si="34"/>
        <v>0.72592314610084452</v>
      </c>
      <c r="J40" s="154">
        <f t="shared" si="34"/>
        <v>0.70801924071381883</v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0.12234231416665901</v>
      </c>
      <c r="D41" s="151">
        <f t="shared" si="35"/>
        <v>0.14464579170380759</v>
      </c>
      <c r="E41" s="151">
        <f t="shared" si="35"/>
        <v>0.14154159637832697</v>
      </c>
      <c r="F41" s="151">
        <f t="shared" si="35"/>
        <v>0.16943780125933883</v>
      </c>
      <c r="G41" s="151">
        <f t="shared" si="35"/>
        <v>0.20434249385030695</v>
      </c>
      <c r="H41" s="151">
        <f t="shared" si="35"/>
        <v>0.18098015478338877</v>
      </c>
      <c r="I41" s="151">
        <f t="shared" si="35"/>
        <v>0.18527327558810205</v>
      </c>
      <c r="J41" s="151">
        <f t="shared" si="35"/>
        <v>0.20191236303675442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6.4812855868203439E-3</v>
      </c>
      <c r="D43" s="151">
        <f t="shared" si="37"/>
        <v>6.1826446595215261E-3</v>
      </c>
      <c r="E43" s="151">
        <f t="shared" si="37"/>
        <v>3.4132590508976859E-3</v>
      </c>
      <c r="F43" s="151">
        <f t="shared" si="37"/>
        <v>5.3588887717027868E-3</v>
      </c>
      <c r="G43" s="151">
        <f t="shared" si="37"/>
        <v>9.8606539467285034E-3</v>
      </c>
      <c r="H43" s="151">
        <f t="shared" si="37"/>
        <v>5.5549805058137539E-3</v>
      </c>
      <c r="I43" s="151">
        <f t="shared" si="37"/>
        <v>4.1195880750011828E-3</v>
      </c>
      <c r="J43" s="151">
        <f t="shared" si="37"/>
        <v>4.616990760164307E-3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1.3233621247382252E-3</v>
      </c>
      <c r="D44" s="151">
        <f t="shared" si="38"/>
        <v>1.4800044498706581E-3</v>
      </c>
      <c r="E44" s="151">
        <f t="shared" si="38"/>
        <v>2.2586604162686892E-3</v>
      </c>
      <c r="F44" s="151">
        <f t="shared" si="38"/>
        <v>2.8447718054039261E-3</v>
      </c>
      <c r="G44" s="151">
        <f t="shared" si="38"/>
        <v>1.9289008554358115E-3</v>
      </c>
      <c r="H44" s="151">
        <f t="shared" si="38"/>
        <v>2.1441854720433318E-3</v>
      </c>
      <c r="I44" s="151">
        <f t="shared" si="38"/>
        <v>2.4432408553146123E-3</v>
      </c>
      <c r="J44" s="151">
        <f t="shared" si="38"/>
        <v>2.4925765839602177E-3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>
        <f t="shared" si="39"/>
        <v>0</v>
      </c>
      <c r="J45" s="151">
        <f t="shared" si="39"/>
        <v>0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7.4842321832102252E-2</v>
      </c>
      <c r="D46" s="151">
        <f t="shared" si="40"/>
        <v>7.1292279051952262E-2</v>
      </c>
      <c r="E46" s="151">
        <f t="shared" si="40"/>
        <v>7.8582111099543772E-2</v>
      </c>
      <c r="F46" s="151">
        <f t="shared" si="40"/>
        <v>0.10847046482659158</v>
      </c>
      <c r="G46" s="151">
        <f t="shared" si="40"/>
        <v>6.749743322267418E-2</v>
      </c>
      <c r="H46" s="151">
        <f t="shared" si="40"/>
        <v>9.0371817162184481E-2</v>
      </c>
      <c r="I46" s="151">
        <f t="shared" si="40"/>
        <v>8.2240749380737624E-2</v>
      </c>
      <c r="J46" s="151">
        <f t="shared" si="40"/>
        <v>8.295882890530222E-2</v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1.2515541822468641</v>
      </c>
      <c r="D48" s="267">
        <f t="shared" si="41"/>
        <v>1.084083558028635</v>
      </c>
      <c r="E48" s="267">
        <f t="shared" si="41"/>
        <v>1.1276583619509606</v>
      </c>
      <c r="F48" s="267">
        <f t="shared" si="41"/>
        <v>1.0910552620039125</v>
      </c>
      <c r="G48" s="267" t="e">
        <f t="shared" si="41"/>
        <v>#VALUE!</v>
      </c>
      <c r="H48" s="267" t="e">
        <f t="shared" si="41"/>
        <v>#VALUE!</v>
      </c>
      <c r="I48" s="267" t="e">
        <f t="shared" si="41"/>
        <v>#VALUE!</v>
      </c>
      <c r="J48" s="267" t="e">
        <f t="shared" si="41"/>
        <v>#VALUE!</v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e">
        <f t="shared" si="44"/>
        <v>#VALUE!</v>
      </c>
      <c r="I51" s="151" t="e">
        <f t="shared" si="44"/>
        <v>#VALUE!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0.2917833262723572</v>
      </c>
      <c r="D53" s="154">
        <f t="shared" si="45"/>
        <v>0.37093215633068283</v>
      </c>
      <c r="E53" s="154">
        <f t="shared" si="45"/>
        <v>0.38318138351647474</v>
      </c>
      <c r="F53" s="154">
        <f t="shared" si="45"/>
        <v>0.47843198845559354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8.6599205211192604E-2</v>
      </c>
      <c r="D55" s="151">
        <f t="shared" si="47"/>
        <v>8.6722499851857676E-2</v>
      </c>
      <c r="E55" s="151">
        <f t="shared" si="47"/>
        <v>4.3435573352998177E-2</v>
      </c>
      <c r="F55" s="151">
        <f t="shared" si="47"/>
        <v>4.9404128398176213E-2</v>
      </c>
      <c r="G55" s="151">
        <f t="shared" si="47"/>
        <v>0.1460893174144591</v>
      </c>
      <c r="H55" s="151">
        <f t="shared" si="47"/>
        <v>6.1468062502766631E-2</v>
      </c>
      <c r="I55" s="151">
        <f t="shared" si="47"/>
        <v>5.009181100635824E-2</v>
      </c>
      <c r="J55" s="151">
        <f t="shared" si="47"/>
        <v>5.5654001160438483E-2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0.34882356809364107</v>
      </c>
      <c r="D58" s="269">
        <f t="shared" si="49"/>
        <v>0.22642763513944536</v>
      </c>
      <c r="E58" s="269">
        <f t="shared" si="49"/>
        <v>0.24130286274054882</v>
      </c>
      <c r="F58" s="269">
        <f t="shared" si="49"/>
        <v>0.2595857263115473</v>
      </c>
      <c r="G58" s="269" t="e">
        <f t="shared" si="49"/>
        <v>#VALUE!</v>
      </c>
      <c r="H58" s="269" t="e">
        <f t="shared" si="49"/>
        <v>#VALUE!</v>
      </c>
      <c r="I58" s="269" t="e">
        <f t="shared" si="49"/>
        <v>#VALUE!</v>
      </c>
      <c r="J58" s="269" t="e">
        <f t="shared" si="49"/>
        <v>#VALUE!</v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0.32102321299401587</v>
      </c>
      <c r="D59" s="269">
        <f t="shared" si="50"/>
        <v>0.20835828389520974</v>
      </c>
      <c r="E59" s="269">
        <f t="shared" si="50"/>
        <v>0.23125803729802027</v>
      </c>
      <c r="F59" s="269">
        <f t="shared" si="50"/>
        <v>0.24736488001794146</v>
      </c>
      <c r="G59" s="269" t="e">
        <f t="shared" si="50"/>
        <v>#VALUE!</v>
      </c>
      <c r="H59" s="269" t="e">
        <f t="shared" si="50"/>
        <v>#VALUE!</v>
      </c>
      <c r="I59" s="269" t="e">
        <f t="shared" si="50"/>
        <v>#VALUE!</v>
      </c>
      <c r="J59" s="269" t="e">
        <f t="shared" si="50"/>
        <v>#VALUE!</v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26381.4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25345</v>
      </c>
      <c r="K3" s="24"/>
    </row>
    <row r="4" spans="1:11" ht="15" customHeight="1" x14ac:dyDescent="0.4">
      <c r="B4" s="3" t="s">
        <v>23</v>
      </c>
      <c r="C4" s="86"/>
      <c r="D4" s="196">
        <f>Inputs!C42</f>
        <v>1036.4000000000001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-63074.570836764811</v>
      </c>
      <c r="E6" s="56">
        <f>1-D6/D3</f>
        <v>3.3908727678123531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45565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60481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60481</v>
      </c>
      <c r="J48" s="8"/>
    </row>
    <row r="49" spans="2:11" ht="15" customHeight="1" thickTop="1" x14ac:dyDescent="0.4">
      <c r="B49" s="3" t="s">
        <v>14</v>
      </c>
      <c r="C49" s="61">
        <f>Inputs!C41+Inputs!C37</f>
        <v>86862.399999999994</v>
      </c>
      <c r="D49" s="56">
        <f>E49/C49</f>
        <v>0</v>
      </c>
      <c r="E49" s="87">
        <f>E28+E48</f>
        <v>0</v>
      </c>
      <c r="F49" s="86"/>
      <c r="G49" s="86"/>
      <c r="H49" s="3" t="s">
        <v>82</v>
      </c>
      <c r="I49" s="40">
        <f>Inputs!C37</f>
        <v>60481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1036.4000000000001</v>
      </c>
      <c r="D53" s="29">
        <f>IF(E53=0, 0,E53/C53)</f>
        <v>2.5024805449293819</v>
      </c>
      <c r="E53" s="87">
        <f>IF(C53=0,0,MAX(C53,C53*Dashboard!G23))</f>
        <v>2593.5708367648117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86862.399999999994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60481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26381.399999999994</v>
      </c>
      <c r="D70" s="29">
        <f t="shared" si="2"/>
        <v>-2.2925621839629442</v>
      </c>
      <c r="E70" s="68">
        <f>E68-E69</f>
        <v>-60481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45382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108713</v>
      </c>
      <c r="D74" s="204"/>
      <c r="E74" s="233">
        <f>Inputs!E91</f>
        <v>108713</v>
      </c>
      <c r="F74" s="204"/>
      <c r="H74" s="233">
        <f>Inputs!F91</f>
        <v>108713</v>
      </c>
      <c r="I74" s="204"/>
      <c r="K74" s="24"/>
    </row>
    <row r="75" spans="1:11" ht="15" customHeight="1" x14ac:dyDescent="0.4">
      <c r="B75" s="103" t="s">
        <v>102</v>
      </c>
      <c r="C75" s="77">
        <f>Data!C8</f>
        <v>86428</v>
      </c>
      <c r="D75" s="156">
        <f>C75/$C$74</f>
        <v>0.79501071628968012</v>
      </c>
      <c r="E75" s="233">
        <f>Inputs!E92</f>
        <v>86428</v>
      </c>
      <c r="F75" s="157">
        <f>E75/E74</f>
        <v>0.79501071628968012</v>
      </c>
      <c r="H75" s="233">
        <f>Inputs!F92</f>
        <v>86428</v>
      </c>
      <c r="I75" s="157">
        <f>H75/$H$74</f>
        <v>0.79501071628968012</v>
      </c>
      <c r="K75" s="24"/>
    </row>
    <row r="76" spans="1:11" ht="15" customHeight="1" x14ac:dyDescent="0.4">
      <c r="B76" s="35" t="s">
        <v>92</v>
      </c>
      <c r="C76" s="158">
        <f>C74-C75</f>
        <v>22285</v>
      </c>
      <c r="D76" s="205"/>
      <c r="E76" s="159">
        <f>E74-E75</f>
        <v>22285</v>
      </c>
      <c r="F76" s="205"/>
      <c r="H76" s="159">
        <f>H74-H75</f>
        <v>22285</v>
      </c>
      <c r="I76" s="205"/>
      <c r="K76" s="24"/>
    </row>
    <row r="77" spans="1:11" ht="15" customHeight="1" x14ac:dyDescent="0.4">
      <c r="B77" s="103" t="s">
        <v>231</v>
      </c>
      <c r="C77" s="77">
        <f>Data!C10+MAX(Data!C11,0)</f>
        <v>13300.2</v>
      </c>
      <c r="D77" s="156">
        <f>C77/$C$74</f>
        <v>0.12234231416665901</v>
      </c>
      <c r="E77" s="233">
        <f>Inputs!E93</f>
        <v>13300.2</v>
      </c>
      <c r="F77" s="157">
        <f>E77/E74</f>
        <v>0.12234231416665901</v>
      </c>
      <c r="H77" s="233">
        <f>Inputs!F93</f>
        <v>13300.2</v>
      </c>
      <c r="I77" s="157">
        <f>H77/$H$74</f>
        <v>0.12234231416665901</v>
      </c>
      <c r="K77" s="24"/>
    </row>
    <row r="78" spans="1:11" ht="15" customHeight="1" x14ac:dyDescent="0.4">
      <c r="B78" s="73" t="s">
        <v>161</v>
      </c>
      <c r="C78" s="77">
        <f>MAX(Data!C12,0)</f>
        <v>143.86666666666667</v>
      </c>
      <c r="D78" s="156">
        <f>C78/$C$74</f>
        <v>1.3233621247382252E-3</v>
      </c>
      <c r="E78" s="177">
        <f>E74*F78</f>
        <v>143.86666666666667</v>
      </c>
      <c r="F78" s="157">
        <f>I78</f>
        <v>1.3233621247382252E-3</v>
      </c>
      <c r="H78" s="233">
        <f>Inputs!F97</f>
        <v>143.86666666666667</v>
      </c>
      <c r="I78" s="157">
        <f>H78/$H$74</f>
        <v>1.3233621247382252E-3</v>
      </c>
      <c r="K78" s="24"/>
    </row>
    <row r="79" spans="1:11" ht="15" customHeight="1" x14ac:dyDescent="0.4">
      <c r="B79" s="251" t="s">
        <v>217</v>
      </c>
      <c r="C79" s="252">
        <f>C76-C77-C78</f>
        <v>8840.9333333333325</v>
      </c>
      <c r="D79" s="253">
        <f>C79/C74</f>
        <v>8.1323607418922597E-2</v>
      </c>
      <c r="E79" s="254">
        <f>E76-E77-E78</f>
        <v>8840.9333333333325</v>
      </c>
      <c r="F79" s="253">
        <f>E79/E74</f>
        <v>8.1323607418922597E-2</v>
      </c>
      <c r="G79" s="255"/>
      <c r="H79" s="254">
        <f>H76-H77-H78</f>
        <v>8840.9333333333325</v>
      </c>
      <c r="I79" s="253">
        <f>H79/H74</f>
        <v>8.1323607418922597E-2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704.6</v>
      </c>
      <c r="D81" s="156">
        <f>C81/$C$74</f>
        <v>6.4812855868203439E-3</v>
      </c>
      <c r="E81" s="177">
        <f>E74*F81</f>
        <v>704.6</v>
      </c>
      <c r="F81" s="157">
        <f>I81</f>
        <v>6.4812855868203439E-3</v>
      </c>
      <c r="H81" s="233">
        <f>Inputs!F94</f>
        <v>704.6</v>
      </c>
      <c r="I81" s="157">
        <f>H81/$H$74</f>
        <v>6.4812855868203439E-3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8136.3333333333321</v>
      </c>
      <c r="D83" s="161">
        <f>C83/$C$74</f>
        <v>7.4842321832102252E-2</v>
      </c>
      <c r="E83" s="162">
        <f>E79-E81-E82-E80</f>
        <v>8136.3333333333321</v>
      </c>
      <c r="F83" s="161">
        <f>E83/E74</f>
        <v>7.4842321832102252E-2</v>
      </c>
      <c r="H83" s="162">
        <f>H79-H81-H82-H80</f>
        <v>8136.3333333333321</v>
      </c>
      <c r="I83" s="161">
        <f>H83/$H$74</f>
        <v>7.4842321832102252E-2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6102.2499999999991</v>
      </c>
      <c r="D85" s="253">
        <f>C85/$C$74</f>
        <v>5.6131741374076692E-2</v>
      </c>
      <c r="E85" s="259">
        <f>E83*(1-F84)</f>
        <v>6102.2499999999991</v>
      </c>
      <c r="F85" s="253">
        <f>E85/E74</f>
        <v>5.6131741374076692E-2</v>
      </c>
      <c r="G85" s="255"/>
      <c r="H85" s="259">
        <f>H83*(1-I84)</f>
        <v>6102.2499999999991</v>
      </c>
      <c r="I85" s="253">
        <f>H85/$H$74</f>
        <v>5.6131741374076692E-2</v>
      </c>
      <c r="K85" s="24"/>
    </row>
    <row r="86" spans="1:11" ht="15" customHeight="1" x14ac:dyDescent="0.4">
      <c r="B86" s="86" t="s">
        <v>152</v>
      </c>
      <c r="C86" s="164">
        <f>C85*Data!C4/Common_Shares</f>
        <v>0.61097424994218896</v>
      </c>
      <c r="D86" s="204"/>
      <c r="E86" s="165">
        <f>E85*Data!C4/Common_Shares</f>
        <v>0.61097424994218896</v>
      </c>
      <c r="F86" s="204"/>
      <c r="H86" s="165">
        <f>H85*Data!C4/Common_Shares</f>
        <v>0.61097424994218896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9.2431807858122383E-2</v>
      </c>
      <c r="D87" s="204"/>
      <c r="E87" s="257">
        <f>E86*Exchange_Rate/Dashboard!G3</f>
        <v>9.2431807858122383E-2</v>
      </c>
      <c r="F87" s="204"/>
      <c r="H87" s="257">
        <f>H86*Exchange_Rate/Dashboard!G3</f>
        <v>9.2431807858122383E-2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0.55000000000000004</v>
      </c>
      <c r="D88" s="163">
        <f>C88/C86</f>
        <v>0.90020160432627339</v>
      </c>
      <c r="E88" s="167">
        <f>Inputs!E98</f>
        <v>0.44000000000000006</v>
      </c>
      <c r="F88" s="163">
        <f>E88/E86</f>
        <v>0.72016128346101871</v>
      </c>
      <c r="H88" s="167">
        <f>Inputs!F98</f>
        <v>0.55000000000000004</v>
      </c>
      <c r="I88" s="163">
        <f>H88/H86</f>
        <v>0.90020160432627339</v>
      </c>
      <c r="K88" s="24"/>
    </row>
    <row r="89" spans="1:11" ht="15" customHeight="1" x14ac:dyDescent="0.4">
      <c r="B89" s="86" t="s">
        <v>206</v>
      </c>
      <c r="C89" s="256">
        <f>C88*Exchange_Rate/Dashboard!G3</f>
        <v>8.3207261724659615E-2</v>
      </c>
      <c r="D89" s="204"/>
      <c r="E89" s="256">
        <f>E88*Exchange_Rate/Dashboard!G3</f>
        <v>6.6565809379727697E-2</v>
      </c>
      <c r="F89" s="204"/>
      <c r="H89" s="256">
        <f>H88*Exchange_Rate/Dashboard!G3</f>
        <v>8.3207261724659615E-2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15.679883780235748</v>
      </c>
      <c r="H93" s="86" t="s">
        <v>195</v>
      </c>
      <c r="I93" s="142">
        <f>FV(H87,D93,0,-(H86/(C93-D94)))*Exchange_Rate</f>
        <v>15.679883780235748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10.017035488570382</v>
      </c>
      <c r="H94" s="86" t="s">
        <v>196</v>
      </c>
      <c r="I94" s="142">
        <f>FV(H89,D93,0,-(H88/(C93-D94)))*Exchange_Rate</f>
        <v>13.529095175394628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77861.134374763424</v>
      </c>
      <c r="D97" s="208"/>
      <c r="E97" s="121">
        <f>PV(C94,D93,0,-F93)</f>
        <v>7.7956734277142177</v>
      </c>
      <c r="F97" s="208"/>
      <c r="H97" s="121">
        <f>PV(C94,D93,0,-I93)</f>
        <v>7.7956734277142177</v>
      </c>
      <c r="I97" s="121">
        <f>PV(C93,D93,0,-I93)</f>
        <v>10.640640884901897</v>
      </c>
      <c r="K97" s="24"/>
    </row>
    <row r="98" spans="2:11" ht="15" customHeight="1" x14ac:dyDescent="0.4">
      <c r="B98" s="28" t="s">
        <v>139</v>
      </c>
      <c r="C98" s="90">
        <f>-E53*Exchange_Rate</f>
        <v>-2593.5708367648117</v>
      </c>
      <c r="D98" s="208"/>
      <c r="E98" s="208"/>
      <c r="F98" s="208"/>
      <c r="H98" s="121">
        <f>C98*Data!$C$4/Common_Shares</f>
        <v>-0.25967552897116908</v>
      </c>
      <c r="I98" s="210"/>
      <c r="K98" s="24"/>
    </row>
    <row r="99" spans="2:11" ht="15" customHeight="1" thickBot="1" x14ac:dyDescent="0.45">
      <c r="B99" s="104" t="s">
        <v>140</v>
      </c>
      <c r="C99" s="107">
        <f>(E65+IF(E70&lt;0,E70,0))*Exchange_Rate</f>
        <v>-60481</v>
      </c>
      <c r="D99" s="209"/>
      <c r="E99" s="143">
        <f>IF(H99&gt;0,H99*(1-C94),H99*(1+C94))</f>
        <v>-6.9638549145588211</v>
      </c>
      <c r="F99" s="209"/>
      <c r="H99" s="143">
        <f>C99*Data!$C$4/Common_Shares</f>
        <v>-6.0555260126598451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14786.563537998605</v>
      </c>
      <c r="D100" s="108">
        <f>MIN(F100*(1-C94),E100)</f>
        <v>0.57214298418422782</v>
      </c>
      <c r="E100" s="108">
        <f>MAX(E97+H98+E99,0)</f>
        <v>0.57214298418422782</v>
      </c>
      <c r="F100" s="108">
        <f>(E100+H100)/2</f>
        <v>1.0263074351337149</v>
      </c>
      <c r="H100" s="108">
        <f>MAX(C100*Data!$C$4/Common_Shares,0)</f>
        <v>1.480471886083202</v>
      </c>
      <c r="I100" s="108">
        <f>MAX(I97+H98+H99,0)</f>
        <v>4.3254393432708831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67181.027116294543</v>
      </c>
      <c r="D103" s="108">
        <f>MIN(F103*(1-C94),E103)</f>
        <v>4.9753000582772593</v>
      </c>
      <c r="E103" s="121">
        <f>PV(C94,D93,0,-F94)</f>
        <v>4.9802370015745332</v>
      </c>
      <c r="F103" s="108">
        <f>(E103+H103)/2</f>
        <v>5.8532941862085401</v>
      </c>
      <c r="H103" s="121">
        <f>PV(C94,D93,0,-I94)</f>
        <v>6.7263513708425462</v>
      </c>
      <c r="I103" s="108">
        <f>PV(C93,D93,0,-I94)</f>
        <v>9.1810784618499675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27727.854955673127</v>
      </c>
      <c r="D106" s="108">
        <f>(D100+D103)/2</f>
        <v>2.7737215212307436</v>
      </c>
      <c r="E106" s="121">
        <f>(E100+E103)/2</f>
        <v>2.7761899928793805</v>
      </c>
      <c r="F106" s="108">
        <f>(F100+F103)/2</f>
        <v>3.4398008106711275</v>
      </c>
      <c r="H106" s="121">
        <f>(H100+H103)/2</f>
        <v>4.1034116284628741</v>
      </c>
      <c r="I106" s="121">
        <f>(I100+I103)/2</f>
        <v>6.7532589025604253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