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0F88056-C372-4201-A543-99A1D41698D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B47" i="4" s="1"/>
  <c r="D44" i="4"/>
  <c r="C44" i="4"/>
  <c r="C2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6" i="4"/>
  <c r="F97" i="4"/>
  <c r="D56" i="4"/>
  <c r="F56" i="2"/>
  <c r="M56" i="2"/>
  <c r="E56" i="2"/>
  <c r="L56" i="2"/>
  <c r="D56" i="2"/>
  <c r="K56" i="2"/>
  <c r="I56" i="2"/>
  <c r="H56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<sst xmlns="http://schemas.openxmlformats.org/spreadsheetml/2006/main" count="392" uniqueCount="275">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</sst>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1200000000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45169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3" t="s">
        <v>11</v>
      </c>
      <c r="C25" s="147">
        <v>1497962</v>
      </c>
      <c r="D25" s="147">
        <v>1309197</v>
      </c>
      <c r="E25" s="147">
        <v>1041999</v>
      </c>
      <c r="F25" s="147">
        <v>702493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607907</v>
      </c>
      <c r="D26" s="148">
        <v>482494</v>
      </c>
      <c r="E26" s="148">
        <v>410560</v>
      </c>
      <c r="F26" s="148">
        <v>332916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174378+5109</f>
        <v>179487</v>
      </c>
      <c r="D27" s="148">
        <v>203486</v>
      </c>
      <c r="E27" s="148">
        <v>191402</v>
      </c>
      <c r="F27" s="148">
        <v>142033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124545</v>
      </c>
      <c r="D29" s="148">
        <v>135797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0.0924+0.0907</f>
        <v>0.18309999999999998</v>
      </c>
      <c r="D44" s="245">
        <f>0.053+0.1</f>
        <v>0.153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4.5696587080512545E-2</v>
      </c>
      <c r="D45" s="150">
        <f>IF(D44="","",D44*Exchange_Rate/Dashboard!$G$3)</f>
        <v>3.81844774621432E-2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382919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f>1018629+7</f>
        <v>1018636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>
        <v>800111</v>
      </c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3112520+681371</f>
        <v>3793891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188000</v>
      </c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436546</v>
      </c>
      <c r="D72" s="243">
        <v>0</v>
      </c>
      <c r="E72" s="244"/>
    </row>
    <row r="73" spans="2:5" ht="13.9" x14ac:dyDescent="0.4">
      <c r="B73" s="3" t="s">
        <v>34</v>
      </c>
      <c r="C73" s="59">
        <v>1333523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2476486</v>
      </c>
    </row>
    <row r="78" spans="2:5" ht="14.25" thickTop="1" x14ac:dyDescent="0.4">
      <c r="B78" s="3" t="s">
        <v>57</v>
      </c>
      <c r="C78" s="59">
        <v>545657</v>
      </c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546386</v>
      </c>
    </row>
    <row r="83" spans="2:8" ht="14.25" hidden="1" thickTop="1" x14ac:dyDescent="0.4">
      <c r="B83" s="73" t="s">
        <v>265</v>
      </c>
      <c r="C83" s="212">
        <v>3597231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45169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1497962</v>
      </c>
      <c r="D91" s="204"/>
      <c r="E91" s="246">
        <f>C91</f>
        <v>1497962</v>
      </c>
      <c r="F91" s="246">
        <f>C91</f>
        <v>1497962</v>
      </c>
    </row>
    <row r="92" spans="2:8" ht="13.9" x14ac:dyDescent="0.4">
      <c r="B92" s="103" t="s">
        <v>101</v>
      </c>
      <c r="C92" s="77">
        <f>C26</f>
        <v>607907</v>
      </c>
      <c r="D92" s="156">
        <f>C92/C91</f>
        <v>0.40582271112351315</v>
      </c>
      <c r="E92" s="247">
        <f>E91*D92</f>
        <v>607907</v>
      </c>
      <c r="F92" s="247">
        <f>F91*D92</f>
        <v>607907</v>
      </c>
    </row>
    <row r="93" spans="2:8" ht="13.9" x14ac:dyDescent="0.4">
      <c r="B93" s="103" t="s">
        <v>229</v>
      </c>
      <c r="C93" s="77">
        <f>C27+C28</f>
        <v>179487</v>
      </c>
      <c r="D93" s="156">
        <f>C93/C91</f>
        <v>0.11982079652220817</v>
      </c>
      <c r="E93" s="247">
        <f>E91*D93</f>
        <v>179487</v>
      </c>
      <c r="F93" s="247">
        <f>F91*D93</f>
        <v>179487</v>
      </c>
    </row>
    <row r="94" spans="2:8" ht="13.9" x14ac:dyDescent="0.4">
      <c r="B94" s="103" t="s">
        <v>237</v>
      </c>
      <c r="C94" s="77">
        <f>C29</f>
        <v>124545</v>
      </c>
      <c r="D94" s="156">
        <f>C94/C91</f>
        <v>8.3142963573174758E-2</v>
      </c>
      <c r="E94" s="248"/>
      <c r="F94" s="247">
        <f>F91*D94</f>
        <v>124545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0.18309999999999998</v>
      </c>
      <c r="D98" s="261"/>
      <c r="E98" s="249">
        <f>F98</f>
        <v>0.18309999999999998</v>
      </c>
      <c r="F98" s="249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1969.HK</v>
      </c>
      <c r="D3" s="291"/>
      <c r="E3" s="86"/>
      <c r="F3" s="3" t="s">
        <v>1</v>
      </c>
      <c r="G3" s="130">
        <v>4.2699999999999996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中國春來</v>
      </c>
      <c r="D4" s="293"/>
      <c r="E4" s="86"/>
      <c r="F4" s="3" t="s">
        <v>2</v>
      </c>
      <c r="G4" s="296">
        <f>Inputs!C10</f>
        <v>1200000000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45637</v>
      </c>
      <c r="D5" s="295"/>
      <c r="E5" s="34"/>
      <c r="F5" s="35" t="s">
        <v>95</v>
      </c>
      <c r="G5" s="288">
        <f>G3*G4/1000000</f>
        <v>5123.9999999999991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C0016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0.47435649235427868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8.3142963573174758E-2</v>
      </c>
      <c r="F24" s="138" t="s">
        <v>240</v>
      </c>
      <c r="G24" s="263">
        <f>G3/(Fin_Analysis!H86*G7)</f>
        <v>10.939813045762005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0.49991211949019065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4.5696587080512545E-2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2.6104358565036914</v>
      </c>
      <c r="D29" s="127">
        <f>G29*(1+G20)</f>
        <v>5.3705671542364213</v>
      </c>
      <c r="E29" s="86"/>
      <c r="F29" s="129">
        <f>IF(Fin_Analysis!C108="Profit",Fin_Analysis!F100,IF(Fin_Analysis!C108="Dividend",Fin_Analysis!F103,Fin_Analysis!F106))</f>
        <v>3.0711010076514018</v>
      </c>
      <c r="G29" s="287">
        <f>IF(Fin_Analysis!C108="Profit",Fin_Analysis!I100,IF(Fin_Analysis!C108="Dividend",Fin_Analysis!I103,Fin_Analysis!I106))</f>
        <v>4.6700583949881924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45169</v>
      </c>
      <c r="E3" s="144" t="s">
        <v>185</v>
      </c>
      <c r="F3" s="84" t="str">
        <f>H14</f>
        <v/>
      </c>
      <c r="G3" s="84">
        <f>C14</f>
        <v>710568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3" t="s">
        <v>11</v>
      </c>
      <c r="C6" s="197">
        <f>IF(Inputs!C25=""," ",Inputs!C25)</f>
        <v>1497962</v>
      </c>
      <c r="D6" s="197">
        <f>IF(Inputs!D25="","",Inputs!D25)</f>
        <v>1309197</v>
      </c>
      <c r="E6" s="197">
        <f>IF(Inputs!E25="","",Inputs!E25)</f>
        <v>1041999</v>
      </c>
      <c r="F6" s="197">
        <f>IF(Inputs!F25="","",Inputs!F25)</f>
        <v>702493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0.1441838012155543</v>
      </c>
      <c r="D7" s="91">
        <f t="shared" si="1"/>
        <v>0.25642826912501837</v>
      </c>
      <c r="E7" s="91">
        <f t="shared" si="1"/>
        <v>0.48328737795252041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607907</v>
      </c>
      <c r="D8" s="196">
        <f>IF(Inputs!D26="","",Inputs!D26)</f>
        <v>482494</v>
      </c>
      <c r="E8" s="196">
        <f>IF(Inputs!E26="","",Inputs!E26)</f>
        <v>410560</v>
      </c>
      <c r="F8" s="196">
        <f>IF(Inputs!F26="","",Inputs!F26)</f>
        <v>332916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890055</v>
      </c>
      <c r="D9" s="149">
        <f t="shared" si="2"/>
        <v>826703</v>
      </c>
      <c r="E9" s="149">
        <f t="shared" si="2"/>
        <v>631439</v>
      </c>
      <c r="F9" s="149">
        <f t="shared" si="2"/>
        <v>369577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179487</v>
      </c>
      <c r="D10" s="196">
        <f>IF(Inputs!D27="","",Inputs!D27)</f>
        <v>203486</v>
      </c>
      <c r="E10" s="196">
        <f>IF(Inputs!E27="","",Inputs!E27)</f>
        <v>191402</v>
      </c>
      <c r="F10" s="196">
        <f>IF(Inputs!F27="","",Inputs!F27)</f>
        <v>142033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0.47435649235427868</v>
      </c>
      <c r="D13" s="224">
        <f t="shared" si="3"/>
        <v>0.47602996340504905</v>
      </c>
      <c r="E13" s="224">
        <f t="shared" si="3"/>
        <v>0.4223007891562276</v>
      </c>
      <c r="F13" s="224">
        <f t="shared" si="3"/>
        <v>0.32390927738781738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710568</v>
      </c>
      <c r="D14" s="225">
        <f t="shared" ref="D14:M14" si="4">IF(D6="","",D9-D10-MAX(D11,0)-MAX(D12,0))</f>
        <v>623217</v>
      </c>
      <c r="E14" s="225">
        <f t="shared" si="4"/>
        <v>440037</v>
      </c>
      <c r="F14" s="225">
        <f t="shared" si="4"/>
        <v>227544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0.14016145259195434</v>
      </c>
      <c r="D15" s="227">
        <f t="shared" ref="D15:M15" si="5">IF(E14="","",IF(ABS(D14+E14)=ABS(D14)+ABS(E14),IF(D14&lt;0,-1,1)*(D14-E14)/E14,"Turn"))</f>
        <v>0.41628317618745697</v>
      </c>
      <c r="E15" s="227">
        <f t="shared" si="5"/>
        <v>0.93385455120767846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124545</v>
      </c>
      <c r="D17" s="196">
        <f>IF(Inputs!D29="","",Inputs!D29)</f>
        <v>135797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586023</v>
      </c>
      <c r="D22" s="158">
        <f t="shared" ref="D22:M22" si="8">IF(D6="","",D14-MAX(D16,0)-MAX(D17,0)-ABS(MAX(D21,0)-MAX(D19,0)))</f>
        <v>487420</v>
      </c>
      <c r="E22" s="158">
        <f t="shared" si="8"/>
        <v>440037</v>
      </c>
      <c r="F22" s="158">
        <f t="shared" si="8"/>
        <v>227544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0.29341014658582792</v>
      </c>
      <c r="D23" s="151">
        <f t="shared" si="9"/>
        <v>0.27922841253073449</v>
      </c>
      <c r="E23" s="151">
        <f t="shared" si="9"/>
        <v>0.3167255918671707</v>
      </c>
      <c r="F23" s="151">
        <f t="shared" si="9"/>
        <v>0.24293195804086304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0.20229576135570965</v>
      </c>
      <c r="D25" s="228">
        <f t="shared" ref="D25:M25" si="10">IF(E24="","",IF(ABS(D24+E24)=ABS(D24)+ABS(E24),IF(D24&lt;0,-1,1)*(D24-E24)/E24,"Turn"))</f>
        <v>0.10767958148973836</v>
      </c>
      <c r="E25" s="228">
        <f t="shared" si="10"/>
        <v>0.93385455120767846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1018636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1333523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545657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1879180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-382919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0.40582271112351315</v>
      </c>
      <c r="D40" s="154">
        <f t="shared" si="34"/>
        <v>0.36854193830263893</v>
      </c>
      <c r="E40" s="154">
        <f t="shared" si="34"/>
        <v>0.39401189444519619</v>
      </c>
      <c r="F40" s="154">
        <f t="shared" si="34"/>
        <v>0.47390650155944614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0.11982079652220817</v>
      </c>
      <c r="D41" s="151">
        <f t="shared" si="35"/>
        <v>0.15542809829231199</v>
      </c>
      <c r="E41" s="151">
        <f t="shared" si="35"/>
        <v>0.18368731639857619</v>
      </c>
      <c r="F41" s="151">
        <f t="shared" si="35"/>
        <v>0.20218422105273648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8.3142963573174758E-2</v>
      </c>
      <c r="D43" s="151">
        <f t="shared" si="37"/>
        <v>0.10372541336406974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0.39121352878110394</v>
      </c>
      <c r="D46" s="151">
        <f t="shared" si="40"/>
        <v>0.37230455004097934</v>
      </c>
      <c r="E46" s="151">
        <f t="shared" si="40"/>
        <v>0.4223007891562276</v>
      </c>
      <c r="F46" s="151">
        <f t="shared" si="40"/>
        <v>0.32390927738781738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0.68001457980910063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0.3118503815493992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0.21252578823698046</v>
      </c>
      <c r="D55" s="151">
        <f t="shared" si="47"/>
        <v>0.27860366829428418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0.5659450527885076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1664642.2</v>
      </c>
      <c r="E6" s="56" t="e">
        <f>1-D6/D3</f>
        <v>#DIV/0!</v>
      </c>
      <c r="F6" s="86"/>
      <c r="G6" s="86"/>
      <c r="H6" s="1" t="s">
        <v>25</v>
      </c>
      <c r="I6" s="63">
        <f>(C24+C25)/I28</f>
        <v>0.5659450527885076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1.4783012705185548</v>
      </c>
      <c r="E7" s="11" t="str">
        <f>Dashboard!H3</f>
        <v>HKD</v>
      </c>
      <c r="H7" s="1" t="s">
        <v>26</v>
      </c>
      <c r="I7" s="63">
        <f>C24/I28</f>
        <v>0.5659450527885076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382919</v>
      </c>
      <c r="D11" s="195">
        <f>Inputs!D48</f>
        <v>0.9</v>
      </c>
      <c r="E11" s="87">
        <f t="shared" ref="E11:E22" si="0">C11*D11</f>
        <v>344627.10000000003</v>
      </c>
      <c r="F11" s="111"/>
      <c r="G11" s="86"/>
      <c r="H11" s="3" t="s">
        <v>34</v>
      </c>
      <c r="I11" s="40">
        <f>Inputs!C73</f>
        <v>1333523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1018636</v>
      </c>
      <c r="D13" s="195">
        <f>Inputs!D50</f>
        <v>0.6</v>
      </c>
      <c r="E13" s="87">
        <f t="shared" si="0"/>
        <v>611181.6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1333523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1142963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1401555</v>
      </c>
      <c r="D24" s="62">
        <f>IF(E24=0,0,E24/C24)</f>
        <v>0.68196303391590052</v>
      </c>
      <c r="E24" s="87">
        <f>SUM(E11:E14)</f>
        <v>955808.7</v>
      </c>
      <c r="F24" s="112">
        <f>E24/$E$28</f>
        <v>1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>
        <f>E25/$E$28</f>
        <v>0</v>
      </c>
      <c r="G25" s="86"/>
      <c r="H25" s="23" t="s">
        <v>51</v>
      </c>
      <c r="I25" s="63">
        <f>E28/I28</f>
        <v>0.38595360522934513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1"/>
      <c r="G28" s="86"/>
      <c r="H28" s="78" t="s">
        <v>15</v>
      </c>
      <c r="I28" s="202">
        <f>Inputs!C77</f>
        <v>2476486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545657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800111</v>
      </c>
      <c r="D34" s="195">
        <f>Inputs!D64</f>
        <v>0.4</v>
      </c>
      <c r="E34" s="87">
        <f t="shared" si="1"/>
        <v>320044.40000000002</v>
      </c>
      <c r="F34" s="111"/>
      <c r="G34" s="86"/>
      <c r="H34" s="1" t="s">
        <v>73</v>
      </c>
      <c r="I34" s="83">
        <f>SUM(I30:I33)</f>
        <v>545657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3793891</v>
      </c>
      <c r="D38" s="195">
        <f>Inputs!D68</f>
        <v>0.1</v>
      </c>
      <c r="E38" s="87">
        <f t="shared" si="1"/>
        <v>379389.10000000003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188000</v>
      </c>
      <c r="D39" s="195">
        <f>Inputs!D69</f>
        <v>0.05</v>
      </c>
      <c r="E39" s="87">
        <f t="shared" si="1"/>
        <v>9400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436546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-3022143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800111</v>
      </c>
      <c r="D45" s="62">
        <f>IF(E45=0,0,E45/C45)</f>
        <v>0.4</v>
      </c>
      <c r="E45" s="87">
        <f>SUM(E32:E35)</f>
        <v>320044.40000000002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3981891</v>
      </c>
      <c r="D46" s="62">
        <f>IF(E46=0,0,E46/C46)</f>
        <v>9.7639312577868162E-2</v>
      </c>
      <c r="E46" s="87">
        <f>E36+E37+E38+E39</f>
        <v>388789.10000000003</v>
      </c>
      <c r="F46" s="86"/>
      <c r="G46" s="86"/>
      <c r="H46" s="23" t="s">
        <v>76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436546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5218548</v>
      </c>
      <c r="D48" s="81">
        <f>E48/C48</f>
        <v>0.13582964073531564</v>
      </c>
      <c r="E48" s="76">
        <f>SUM(E30:E42)</f>
        <v>708833.5</v>
      </c>
      <c r="F48" s="86"/>
      <c r="G48" s="86"/>
      <c r="H48" s="80" t="s">
        <v>80</v>
      </c>
      <c r="I48" s="277">
        <f>I49-I28</f>
        <v>-2476486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1664642.2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1879180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382919</v>
      </c>
      <c r="D62" s="106">
        <f t="shared" si="2"/>
        <v>0.90000000000000013</v>
      </c>
      <c r="E62" s="116">
        <f>E11+E30</f>
        <v>344627.10000000003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1879180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-382919</v>
      </c>
      <c r="D68" s="29">
        <f t="shared" si="2"/>
        <v>-3.4472436729438858</v>
      </c>
      <c r="E68" s="68">
        <f>E49-E63</f>
        <v>1320015.0999999999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-1879180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1496261</v>
      </c>
      <c r="D70" s="29">
        <f t="shared" si="2"/>
        <v>2.138126369664116</v>
      </c>
      <c r="E70" s="68">
        <f>E68-E69</f>
        <v>3199195.0999999996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45169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1497962</v>
      </c>
      <c r="D74" s="204"/>
      <c r="E74" s="233">
        <f>Inputs!E91</f>
        <v>1497962</v>
      </c>
      <c r="F74" s="204"/>
      <c r="H74" s="233">
        <f>Inputs!F91</f>
        <v>1497962</v>
      </c>
      <c r="I74" s="204"/>
      <c r="K74" s="24"/>
    </row>
    <row r="75" spans="1:11" ht="15" customHeight="1" x14ac:dyDescent="0.4">
      <c r="B75" s="103" t="s">
        <v>101</v>
      </c>
      <c r="C75" s="77">
        <f>Data!C8</f>
        <v>607907</v>
      </c>
      <c r="D75" s="156">
        <f>C75/$C$74</f>
        <v>0.40582271112351315</v>
      </c>
      <c r="E75" s="233">
        <f>Inputs!E92</f>
        <v>607907</v>
      </c>
      <c r="F75" s="157">
        <f>E75/E74</f>
        <v>0.40582271112351315</v>
      </c>
      <c r="H75" s="233">
        <f>Inputs!F92</f>
        <v>607907</v>
      </c>
      <c r="I75" s="157">
        <f>H75/$H$74</f>
        <v>0.40582271112351315</v>
      </c>
      <c r="K75" s="24"/>
    </row>
    <row r="76" spans="1:11" ht="15" customHeight="1" x14ac:dyDescent="0.4">
      <c r="B76" s="35" t="s">
        <v>91</v>
      </c>
      <c r="C76" s="158">
        <f>C74-C75</f>
        <v>890055</v>
      </c>
      <c r="D76" s="205"/>
      <c r="E76" s="159">
        <f>E74-E75</f>
        <v>890055</v>
      </c>
      <c r="F76" s="205"/>
      <c r="H76" s="159">
        <f>H74-H75</f>
        <v>890055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179487</v>
      </c>
      <c r="D77" s="156">
        <f>C77/$C$74</f>
        <v>0.11982079652220817</v>
      </c>
      <c r="E77" s="233">
        <f>Inputs!E93</f>
        <v>179487</v>
      </c>
      <c r="F77" s="157">
        <f>E77/E74</f>
        <v>0.11982079652220817</v>
      </c>
      <c r="H77" s="233">
        <f>Inputs!F93</f>
        <v>179487</v>
      </c>
      <c r="I77" s="157">
        <f>H77/$H$74</f>
        <v>0.11982079652220817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710568</v>
      </c>
      <c r="D79" s="253">
        <f>C79/C74</f>
        <v>0.47435649235427868</v>
      </c>
      <c r="E79" s="254">
        <f>E76-E77-E78</f>
        <v>710568</v>
      </c>
      <c r="F79" s="253">
        <f>E79/E74</f>
        <v>0.47435649235427868</v>
      </c>
      <c r="G79" s="255"/>
      <c r="H79" s="254">
        <f>H76-H77-H78</f>
        <v>710568</v>
      </c>
      <c r="I79" s="253">
        <f>H79/H74</f>
        <v>0.47435649235427868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124545</v>
      </c>
      <c r="D81" s="156">
        <f>C81/$C$74</f>
        <v>8.3142963573174758E-2</v>
      </c>
      <c r="E81" s="177">
        <f>E74*F81</f>
        <v>124545</v>
      </c>
      <c r="F81" s="157">
        <f>I81</f>
        <v>8.3142963573174758E-2</v>
      </c>
      <c r="H81" s="233">
        <f>Inputs!F94</f>
        <v>124545</v>
      </c>
      <c r="I81" s="157">
        <f>H81/$H$74</f>
        <v>8.3142963573174758E-2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586023</v>
      </c>
      <c r="D83" s="161">
        <f>C83/$C$74</f>
        <v>0.39121352878110394</v>
      </c>
      <c r="E83" s="162">
        <f>E79-E81-E82-E80</f>
        <v>586023</v>
      </c>
      <c r="F83" s="161">
        <f>E83/E74</f>
        <v>0.39121352878110394</v>
      </c>
      <c r="H83" s="162">
        <f>H79-H81-H82-H80</f>
        <v>586023</v>
      </c>
      <c r="I83" s="161">
        <f>H83/$H$74</f>
        <v>0.39121352878110394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439517.25</v>
      </c>
      <c r="D85" s="253">
        <f>C85/$C$74</f>
        <v>0.29341014658582792</v>
      </c>
      <c r="E85" s="259">
        <f>E83*(1-F84)</f>
        <v>439517.25</v>
      </c>
      <c r="F85" s="253">
        <f>E85/E74</f>
        <v>0.29341014658582792</v>
      </c>
      <c r="G85" s="255"/>
      <c r="H85" s="259">
        <f>H83*(1-I84)</f>
        <v>439517.25</v>
      </c>
      <c r="I85" s="253">
        <f>H85/$H$74</f>
        <v>0.29341014658582792</v>
      </c>
      <c r="K85" s="24"/>
    </row>
    <row r="86" spans="1:11" ht="15" customHeight="1" x14ac:dyDescent="0.4">
      <c r="B86" s="86" t="s">
        <v>151</v>
      </c>
      <c r="C86" s="164">
        <f>C85*Data!C4/Common_Shares</f>
        <v>0.36626437499999998</v>
      </c>
      <c r="D86" s="204"/>
      <c r="E86" s="165">
        <f>E85*Data!C4/Common_Shares</f>
        <v>0.36626437499999998</v>
      </c>
      <c r="F86" s="204"/>
      <c r="H86" s="165">
        <f>H85*Data!C4/Common_Shares</f>
        <v>0.36626437499999998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9.1409240342310225E-2</v>
      </c>
      <c r="D87" s="204"/>
      <c r="E87" s="257">
        <f>E86*Exchange_Rate/Dashboard!G3</f>
        <v>9.1409240342310225E-2</v>
      </c>
      <c r="F87" s="204"/>
      <c r="H87" s="257">
        <f>H86*Exchange_Rate/Dashboard!G3</f>
        <v>9.1409240342310225E-2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0.18309999999999998</v>
      </c>
      <c r="D88" s="163">
        <f>C88/C86</f>
        <v>0.49991211949019065</v>
      </c>
      <c r="E88" s="167">
        <f>Inputs!E98</f>
        <v>0.18309999999999998</v>
      </c>
      <c r="F88" s="163">
        <f>E88/E86</f>
        <v>0.49991211949019065</v>
      </c>
      <c r="H88" s="167">
        <f>Inputs!F98</f>
        <v>0.18309999999999998</v>
      </c>
      <c r="I88" s="163">
        <f>H88/H86</f>
        <v>0.49991211949019065</v>
      </c>
      <c r="K88" s="24"/>
    </row>
    <row r="89" spans="1:11" ht="15" customHeight="1" x14ac:dyDescent="0.4">
      <c r="B89" s="86" t="s">
        <v>205</v>
      </c>
      <c r="C89" s="256">
        <f>C88*Exchange_Rate/Dashboard!G3</f>
        <v>4.5696587080512545E-2</v>
      </c>
      <c r="D89" s="204"/>
      <c r="E89" s="256">
        <f>E88*Exchange_Rate/Dashboard!G3</f>
        <v>4.5696587080512545E-2</v>
      </c>
      <c r="F89" s="204"/>
      <c r="H89" s="256">
        <f>H88*Exchange_Rate/Dashboard!G3</f>
        <v>4.5696587080512545E-2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9.1236837706445097</v>
      </c>
      <c r="H93" s="86" t="s">
        <v>194</v>
      </c>
      <c r="I93" s="142">
        <f>FV(H87,D93,0,-(H86/(C93-D94)))*Exchange_Rate</f>
        <v>9.1236837706445097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3.6825971325129188</v>
      </c>
      <c r="H94" s="86" t="s">
        <v>195</v>
      </c>
      <c r="I94" s="142">
        <f>FV(H89,D93,0,-(H88/(C93-D94)))*Exchange_Rate</f>
        <v>3.6825971325129188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5443299.9731796347</v>
      </c>
      <c r="D97" s="208"/>
      <c r="E97" s="121">
        <f>PV(C94,D93,0,-F93)</f>
        <v>4.5360833109830292</v>
      </c>
      <c r="F97" s="208"/>
      <c r="H97" s="121">
        <f>PV(C94,D93,0,-I93)</f>
        <v>4.5360833109830292</v>
      </c>
      <c r="I97" s="121">
        <f>PV(C93,D93,0,-I93)</f>
        <v>6.0328326306455207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-1635329.0827887934</v>
      </c>
      <c r="D99" s="209"/>
      <c r="E99" s="143">
        <f>IF(H99&gt;0,H99*(1-C94),H99*(1+C94))</f>
        <v>-1.567190371005927</v>
      </c>
      <c r="F99" s="209"/>
      <c r="H99" s="143">
        <f>C99*Data!$C$4/Common_Shares</f>
        <v>-1.3627742356573278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3807970.8903908413</v>
      </c>
      <c r="D100" s="108">
        <f>MIN(F100*(1-C94),E100)</f>
        <v>2.6104358565036914</v>
      </c>
      <c r="E100" s="108">
        <f>MAX(E97+H98+E99,0)</f>
        <v>2.9688929399771022</v>
      </c>
      <c r="F100" s="108">
        <f>(E100+H100)/2</f>
        <v>3.0711010076514018</v>
      </c>
      <c r="H100" s="108">
        <f>MAX(C100*Data!$C$4/Common_Shares,0)</f>
        <v>3.1733090753257014</v>
      </c>
      <c r="I100" s="108">
        <f>MAX(I97+H98+H99,0)</f>
        <v>4.6700583949881924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2197081.9437139402</v>
      </c>
      <c r="D103" s="108">
        <f>MIN(F103*(1-C94),E103)</f>
        <v>1.5562663767973743</v>
      </c>
      <c r="E103" s="121">
        <f>PV(C94,D93,0,-F94)</f>
        <v>1.8309016197616168</v>
      </c>
      <c r="F103" s="108">
        <f>(E103+H103)/2</f>
        <v>1.8309016197616168</v>
      </c>
      <c r="H103" s="121">
        <f>PV(C94,D93,0,-I94)</f>
        <v>1.8309016197616168</v>
      </c>
      <c r="I103" s="108">
        <f>PV(C93,D93,0,-I94)</f>
        <v>2.4350353108496829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2879876.735843231</v>
      </c>
      <c r="D106" s="108">
        <f>(D100+D103)/2</f>
        <v>2.0833511166505327</v>
      </c>
      <c r="E106" s="121">
        <f>(E100+E103)/2</f>
        <v>2.3998972798693594</v>
      </c>
      <c r="F106" s="108">
        <f>(F100+F103)/2</f>
        <v>2.4510013137065094</v>
      </c>
      <c r="H106" s="121">
        <f>(H100+H103)/2</f>
        <v>2.502105347543659</v>
      </c>
      <c r="I106" s="121">
        <f>(I100+I103)/2</f>
        <v>3.5525468529189377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