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E7DEA81-6853-414F-B29A-1FEC7A08BBB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B47" i="4"/>
  <c r="C49" i="3"/>
  <c r="E56" i="2"/>
  <c r="H56" i="2"/>
  <c r="M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D53" i="4"/>
  <c r="G56" i="2"/>
  <c r="F56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<sst xmlns="http://schemas.openxmlformats.org/spreadsheetml/2006/main" count="392" uniqueCount="276">
  <si>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</si>
  <si>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</si>
  <si>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</si>
  <si>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</si>
  <si>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</si>
  <si>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</si>
  <si>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</si>
  <si>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</si>
  <si>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</si>
  <si>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</si>
  <si>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</si>
  <si>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</si>
  <si>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</si>
  <si>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</si>
  <si>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</si>
  <si>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</si>
  <si>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</si>
  <si>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</si>
  <si>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</si>
  <si>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</si>
  <si>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</si>
  <si>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</si>
  <si>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</si>
  <si>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</si>
  <si>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</si>
  <si>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</si>
  <si>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</si>
  <si>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</si>
  <si>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</si>
  <si>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</si>
  <si>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</si>
  <si>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</si>
  <si>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</si>
  <si>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</si>
  <si>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</si>
  <si>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</si>
  <si>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</si>
  <si>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</si>
  <si>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</si>
  <si>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</si>
  <si>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</si>
  <si>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</si>
  <si>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</si>
  <si>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</si>
  <si>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</si>
  <si>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</si>
  <si>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</si>
  <si>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</si>
  <si>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</si>
  <si>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</si>
  <si>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</si>
  <si>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</si>
  <si>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</si>
  <si>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</si>
  <si>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</si>
  <si>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</si>
  <si>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</si>
  <si>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</si>
  <si>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</si>
  <si>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</si>
  <si>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</si>
  <si>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</si>
  <si>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</si>
  <si>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</si>
  <si>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</si>
  <si>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</si>
  <si>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</si>
  <si>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</si>
  <si>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</si>
  <si>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</si>
  <si>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</si>
  <si>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</si>
  <si>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</si>
  <si>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</si>
  <si>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</si>
  <si>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</si>
  <si>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</si>
  <si>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</si>
  <si>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</si>
  <si>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</si>
  <si>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</si>
  <si>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</si>
  <si>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</si>
  <si>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</si>
  <si>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</si>
  <si>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</si>
  <si>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</si>
  <si>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</si>
  <si>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</si>
  <si>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</si>
  <si>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</si>
  <si>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</si>
  <si>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</si>
  <si>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</si>
  <si>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</si>
  <si>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</si>
  <si>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</si>
  <si>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</si>
  <si>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</si>
  <si>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</si>
  <si>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</si>
  <si>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</si>
  <si>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</si>
  <si>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</si>
  <si>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</si>
  <si>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</si>
  <si>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</si>
  <si>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</si>
  <si>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</si>
  <si>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</si>
  <si>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</si>
  <si>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</si>
  <si>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</si>
  <si>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</si>
  <si>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</si>
  <si>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</si>
  <si>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</si>
  <si>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</si>
  <si>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</si>
  <si>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</si>
  <si>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</si>
  <si>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</si>
  <si>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</si>
  <si>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</si>
  <si>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</si>
  <si>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</si>
  <si>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</si>
  <si>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</si>
  <si>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</si>
  <si>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</si>
  <si>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</si>
  <si>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</si>
  <si>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</si>
  <si>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</si>
  <si>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</si>
  <si>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</si>
  <si>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</si>
  <si>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</si>
  <si>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</si>
  <si>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</si>
  <si>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</si>
  <si>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</si>
  <si>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</si>
  <si>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</si>
  <si>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</si>
  <si>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</si>
  <si>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</si>
  <si>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</si>
  <si>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</si>
  <si>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</si>
  <si>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</si>
  <si>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</si>
  <si>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</si>
  <si>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</si>
  <si>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</si>
  <si>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</si>
  <si>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</si>
  <si>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</si>
  <si>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</si>
  <si>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</si>
  <si>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</si>
  <si>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</si>
  <si>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</si>
  <si>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</si>
  <si>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</si>
  <si>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</si>
  <si>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</si>
  <si>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</si>
  <si>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</si>
  <si>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</si>
  <si>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</si>
  <si>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</si>
  <si>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</si>
  <si>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</si>
  <si>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</si>
  <si>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</si>
  <si>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</si>
  <si>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</si>
  <si>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</si>
  <si>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</si>
  <si>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</si>
  <si>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</si>
  <si>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</si>
  <si>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</si>
  <si>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</si>
  <si>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</si>
  <si>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</si>
  <si>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</si>
  <si>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</si>
  <si>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</si>
  <si>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</si>
  <si>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</si>
  <si>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</si>
  <si>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</si>
  <si>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</si>
  <si>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</si>
  <si>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</si>
  <si>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</si>
  <si>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</si>
  <si>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</si>
  <si>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</si>
  <si>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</si>
  <si>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</si>
  <si>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</si>
  <si>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</si>
  <si>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</si>
  <si>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</si>
  <si>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</si>
  <si>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</si>
  <si>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</si>
  <si>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</si>
  <si>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</si>
  <si>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</si>
  <si>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</si>
  <si>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</si>
  <si>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</si>
  <si>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</si>
  <si>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</si>
  <si>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</si>
  <si>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</si>
  <si>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</si>
  <si>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</si>
  <si>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</si>
  <si>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</si>
  <si>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</si>
  <si>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</si>
  <si>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</si>
  <si>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</si>
  <si>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</si>
  <si>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</si>
  <si>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</si>
  <si>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</si>
  <si>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</si>
  <si>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</si>
  <si>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</si>
  <si>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</si>
  <si>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</si>
  <si>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</si>
  <si>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</si>
  <si>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</si>
  <si>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</si>
  <si>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</si>
  <si>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</si>
  <si>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</si>
  <si>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</si>
  <si>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</si>
  <si>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</si>
  <si>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</si>
  <si>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</si>
  <si>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</si>
  <si>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</si>
  <si>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</si>
  <si>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</si>
  <si>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</si>
  <si>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</si>
  <si>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</si>
  <si>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</si>
  <si>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</si>
  <si>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</si>
  <si>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</si>
  <si>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</si>
  <si>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</si>
  <si>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</si>
  <si>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</si>
  <si>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</si>
  <si>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</si>
  <si>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</si>
  <si>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2388.HK</t>
  </si>
  <si>
    <t>中银香港</t>
  </si>
  <si>
    <t xml:space="preserve">Superior Cycl. </t>
  </si>
  <si>
    <t>C0014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</si>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</sst>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267</v>
      </c>
    </row>
    <row r="5" spans="1:5" ht="13.9" x14ac:dyDescent="0.4">
      <c r="B5" s="139" t="s">
        <v>181</v>
      </c>
      <c r="C5" s="188" t="s">
        <v>268</v>
      </c>
    </row>
    <row r="6" spans="1:5" ht="13.9" x14ac:dyDescent="0.4">
      <c r="B6" s="139" t="s">
        <v>155</v>
      </c>
      <c r="C6" s="186">
        <v>45593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269</v>
      </c>
      <c r="E8" s="262"/>
    </row>
    <row r="9" spans="1:5" ht="13.9" x14ac:dyDescent="0.4">
      <c r="B9" s="138" t="s">
        <v>202</v>
      </c>
      <c r="C9" s="189" t="s">
        <v>270</v>
      </c>
    </row>
    <row r="10" spans="1:5" ht="13.9" x14ac:dyDescent="0.4">
      <c r="B10" s="138" t="s">
        <v>203</v>
      </c>
      <c r="C10" s="190">
        <v>10572780266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235</v>
      </c>
      <c r="C15" s="173" t="s">
        <v>176</v>
      </c>
    </row>
    <row r="16" spans="1:5" ht="13.9" x14ac:dyDescent="0.4">
      <c r="B16" s="217" t="s">
        <v>93</v>
      </c>
      <c r="C16" s="218">
        <v>0.22500000000000001</v>
      </c>
      <c r="D16" s="24"/>
      <c r="E16" s="109" t="s">
        <v>266</v>
      </c>
    </row>
    <row r="17" spans="2:13" ht="13.9" x14ac:dyDescent="0.4">
      <c r="B17" s="235" t="s">
        <v>209</v>
      </c>
      <c r="C17" s="237" t="s">
        <v>271</v>
      </c>
      <c r="D17" s="24"/>
    </row>
    <row r="18" spans="2:13" ht="13.9" x14ac:dyDescent="0.4">
      <c r="B18" s="235" t="s">
        <v>223</v>
      </c>
      <c r="C18" s="237" t="s">
        <v>272</v>
      </c>
      <c r="D18" s="24"/>
    </row>
    <row r="19" spans="2:13" ht="13.9" x14ac:dyDescent="0.4">
      <c r="B19" s="235" t="s">
        <v>224</v>
      </c>
      <c r="C19" s="237" t="s">
        <v>272</v>
      </c>
      <c r="D19" s="24"/>
    </row>
    <row r="20" spans="2:13" ht="13.9" x14ac:dyDescent="0.4">
      <c r="B20" s="236" t="s">
        <v>213</v>
      </c>
      <c r="C20" s="237" t="s">
        <v>272</v>
      </c>
      <c r="D20" s="24"/>
    </row>
    <row r="21" spans="2:13" ht="13.9" x14ac:dyDescent="0.4">
      <c r="B21" s="219" t="s">
        <v>216</v>
      </c>
      <c r="C21" s="237" t="s">
        <v>271</v>
      </c>
      <c r="D21" s="24"/>
    </row>
    <row r="22" spans="2:13" ht="78.75" x14ac:dyDescent="0.4">
      <c r="B22" s="221" t="s">
        <v>215</v>
      </c>
      <c r="C22" s="238" t="s">
        <v>273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142573</v>
      </c>
      <c r="D25" s="147">
        <v>77824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4079</v>
      </c>
      <c r="D26" s="148">
        <v>3197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16607</v>
      </c>
      <c r="D27" s="148">
        <v>16950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77411</v>
      </c>
      <c r="D29" s="148">
        <v>25020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2134</v>
      </c>
      <c r="D30" s="148">
        <v>1290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258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263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f>1.145+0.57</f>
        <v>1.7149999999999999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6.9574036511156179E-2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/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/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240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239</v>
      </c>
      <c r="C64" s="59"/>
      <c r="D64" s="60">
        <v>0.4</v>
      </c>
      <c r="E64" s="111"/>
    </row>
    <row r="65" spans="2:5" ht="13.9" x14ac:dyDescent="0.4">
      <c r="B65" s="3" t="s">
        <v>66</v>
      </c>
      <c r="C65" s="59"/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261</v>
      </c>
      <c r="C82" s="212"/>
    </row>
    <row r="83" spans="2:8" ht="14.25" hidden="1" thickTop="1" x14ac:dyDescent="0.4">
      <c r="B83" s="73" t="s">
        <v>262</v>
      </c>
      <c r="C83" s="212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274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142573</v>
      </c>
      <c r="D91" s="204"/>
      <c r="E91" s="246">
        <f>C91</f>
        <v>142573</v>
      </c>
      <c r="F91" s="246">
        <f>C91</f>
        <v>142573</v>
      </c>
    </row>
    <row r="92" spans="2:8" ht="13.9" x14ac:dyDescent="0.4">
      <c r="B92" s="103" t="s">
        <v>102</v>
      </c>
      <c r="C92" s="77">
        <f>C26</f>
        <v>4079</v>
      </c>
      <c r="D92" s="156">
        <f>C92/C91</f>
        <v>2.8609905101246377E-2</v>
      </c>
      <c r="E92" s="247">
        <f>E91*D92</f>
        <v>4078.9999999999995</v>
      </c>
      <c r="F92" s="247">
        <f>F91*D92</f>
        <v>4078.9999999999995</v>
      </c>
    </row>
    <row r="93" spans="2:8" ht="13.9" x14ac:dyDescent="0.4">
      <c r="B93" s="103" t="s">
        <v>229</v>
      </c>
      <c r="C93" s="77">
        <f>C27+C28</f>
        <v>16607</v>
      </c>
      <c r="D93" s="156">
        <f>C93/C91</f>
        <v>0.11648068007266453</v>
      </c>
      <c r="E93" s="247">
        <f>E91*D93</f>
        <v>16607</v>
      </c>
      <c r="F93" s="247">
        <f>F91*D93</f>
        <v>16607</v>
      </c>
    </row>
    <row r="94" spans="2:8" ht="13.9" x14ac:dyDescent="0.4">
      <c r="B94" s="103" t="s">
        <v>236</v>
      </c>
      <c r="C94" s="77">
        <f>C29</f>
        <v>77411</v>
      </c>
      <c r="D94" s="156">
        <f>C94/C91</f>
        <v>0.54295694135635775</v>
      </c>
      <c r="E94" s="248"/>
      <c r="F94" s="247">
        <f>F91*D94</f>
        <v>77411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2753.5483870967741</v>
      </c>
      <c r="D97" s="156">
        <f>C97/C91</f>
        <v>1.9313252769435827E-2</v>
      </c>
      <c r="E97" s="248"/>
      <c r="F97" s="247">
        <f>F91*D97</f>
        <v>2753.5483870967741</v>
      </c>
    </row>
    <row r="98" spans="2:7" ht="13.9" x14ac:dyDescent="0.4">
      <c r="B98" s="85" t="s">
        <v>193</v>
      </c>
      <c r="C98" s="232">
        <f>C44</f>
        <v>1.7149999999999999</v>
      </c>
      <c r="D98" s="261"/>
      <c r="E98" s="249">
        <f>F98</f>
        <v>1.48</v>
      </c>
      <c r="F98" s="249">
        <f>0.91+0.57</f>
        <v>1.48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2388.HK : 中银香港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2388.HK</v>
      </c>
      <c r="D3" s="291"/>
      <c r="E3" s="86"/>
      <c r="F3" s="3" t="s">
        <v>1</v>
      </c>
      <c r="G3" s="130">
        <v>24.65</v>
      </c>
      <c r="H3" s="132" t="s">
        <v>275</v>
      </c>
    </row>
    <row r="4" spans="1:10" ht="15.75" customHeight="1" x14ac:dyDescent="0.4">
      <c r="B4" s="35" t="s">
        <v>181</v>
      </c>
      <c r="C4" s="292" t="str">
        <f>Inputs!C5</f>
        <v>中银香港</v>
      </c>
      <c r="D4" s="293"/>
      <c r="E4" s="86"/>
      <c r="F4" s="3" t="s">
        <v>3</v>
      </c>
      <c r="G4" s="296">
        <f>Inputs!C10</f>
        <v>10572780266</v>
      </c>
      <c r="H4" s="296"/>
      <c r="I4" s="39"/>
    </row>
    <row r="5" spans="1:10" ht="15.75" customHeight="1" x14ac:dyDescent="0.4">
      <c r="B5" s="3" t="s">
        <v>155</v>
      </c>
      <c r="C5" s="294">
        <f>Inputs!C6</f>
        <v>45593</v>
      </c>
      <c r="D5" s="295"/>
      <c r="E5" s="34"/>
      <c r="F5" s="35" t="s">
        <v>96</v>
      </c>
      <c r="G5" s="288">
        <f>G3*G4/1000000</f>
        <v>260619.03355689999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 xml:space="preserve">Superior Cycl. </v>
      </c>
      <c r="D7" s="184" t="str">
        <f>Inputs!C9</f>
        <v>C0014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HK</v>
      </c>
      <c r="F16" s="109" t="s">
        <v>166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256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247</v>
      </c>
      <c r="C20" s="271" t="e">
        <f>C21*C22*C23</f>
        <v>#DIV/0!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252</v>
      </c>
      <c r="C21" s="283">
        <f>Data!C13</f>
        <v>0.83559616205665332</v>
      </c>
      <c r="F21" s="86"/>
      <c r="G21" s="29"/>
    </row>
    <row r="22" spans="1:8" ht="15.75" customHeight="1" x14ac:dyDescent="0.4">
      <c r="B22" s="273" t="s">
        <v>259</v>
      </c>
      <c r="C22" s="274" t="e">
        <f>Data!C48</f>
        <v>#DIV/0!</v>
      </c>
      <c r="F22" s="140" t="s">
        <v>171</v>
      </c>
    </row>
    <row r="23" spans="1:8" ht="15.75" customHeight="1" thickBot="1" x14ac:dyDescent="0.45">
      <c r="B23" s="275" t="s">
        <v>265</v>
      </c>
      <c r="C23" s="282" t="e">
        <f>1/Data!C53</f>
        <v>#DIV/0!</v>
      </c>
      <c r="F23" s="138" t="s">
        <v>175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253</v>
      </c>
      <c r="C24" s="281">
        <f>Fin_Analysis!I81</f>
        <v>0.54295694135635775</v>
      </c>
      <c r="F24" s="138" t="s">
        <v>238</v>
      </c>
      <c r="G24" s="263">
        <f>G3/(Fin_Analysis!H86*G7)</f>
        <v>8.0599919454490347</v>
      </c>
    </row>
    <row r="25" spans="1:8" ht="15.75" customHeight="1" x14ac:dyDescent="0.4">
      <c r="B25" s="135" t="s">
        <v>254</v>
      </c>
      <c r="C25" s="168">
        <f>Fin_Analysis!I80</f>
        <v>0</v>
      </c>
      <c r="F25" s="138" t="s">
        <v>162</v>
      </c>
      <c r="G25" s="168">
        <f>Fin_Analysis!I88</f>
        <v>0.48392649408781224</v>
      </c>
    </row>
    <row r="26" spans="1:8" ht="15.75" customHeight="1" x14ac:dyDescent="0.4">
      <c r="B26" s="136" t="s">
        <v>255</v>
      </c>
      <c r="C26" s="168">
        <f>Fin_Analysis!I80+Fin_Analysis!I82</f>
        <v>0</v>
      </c>
      <c r="F26" s="139" t="s">
        <v>179</v>
      </c>
      <c r="G26" s="175">
        <f>Fin_Analysis!H88*Exchange_Rate/G3</f>
        <v>6.0040567951318465E-2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237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13.808678500434416</v>
      </c>
      <c r="D29" s="127">
        <f>G29*(1+G20)</f>
        <v>25.50029365085026</v>
      </c>
      <c r="E29" s="86"/>
      <c r="F29" s="129">
        <f>IF(Fin_Analysis!C108="Profit",Fin_Analysis!F100,IF(Fin_Analysis!C108="Dividend",Fin_Analysis!F103,Fin_Analysis!F106))</f>
        <v>16.245504118158138</v>
      </c>
      <c r="G29" s="287">
        <f>IF(Fin_Analysis!C108="Profit",Fin_Analysis!I100,IF(Fin_Analysis!C108="Dividend",Fin_Analysis!I103,Fin_Analysis!I106))</f>
        <v>22.174168392043708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Strongly agree</v>
      </c>
    </row>
    <row r="34" spans="1:3" ht="15.75" customHeight="1" x14ac:dyDescent="0.4">
      <c r="A34"/>
      <c r="B34" s="19" t="s">
        <v>210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agree</v>
      </c>
    </row>
    <row r="37" spans="1:3" ht="15.75" customHeight="1" x14ac:dyDescent="0.4">
      <c r="A37"/>
      <c r="B37" s="20" t="s">
        <v>224</v>
      </c>
      <c r="C37" s="240" t="str">
        <f>Inputs!C19</f>
        <v>agree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agree</v>
      </c>
    </row>
    <row r="40" spans="1:3" ht="15.75" customHeight="1" x14ac:dyDescent="0.4">
      <c r="A40"/>
      <c r="B40" s="1" t="s">
        <v>216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119133.45161290323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142573</v>
      </c>
      <c r="D6" s="197">
        <f>IF(Inputs!D25="","",Inputs!D25)</f>
        <v>77824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0.83199270148026305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4079</v>
      </c>
      <c r="D8" s="196">
        <f>IF(Inputs!D26="","",Inputs!D26)</f>
        <v>3197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138494</v>
      </c>
      <c r="D9" s="149">
        <f t="shared" si="2"/>
        <v>74627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16607</v>
      </c>
      <c r="D10" s="196">
        <f>IF(Inputs!D27="","",Inputs!D27)</f>
        <v>16950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2753.5483870967741</v>
      </c>
      <c r="D12" s="196">
        <f>IF(Inputs!D30="","",MAX(Inputs!D30,0)/(1-Fin_Analysis!$I$84))</f>
        <v>1664.516129032258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0.83559616205665332</v>
      </c>
      <c r="D13" s="224">
        <f t="shared" si="3"/>
        <v>0.71973278000318341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119133.45161290323</v>
      </c>
      <c r="D14" s="225">
        <f t="shared" ref="D14:M14" si="4">IF(D6="","",D9-D10-MAX(D11,0)-MAX(D12,0))</f>
        <v>56012.483870967742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1.1269089206496017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77411</v>
      </c>
      <c r="D17" s="196">
        <f>IF(Inputs!D29="","",Inputs!D29)</f>
        <v>25020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41722.451612903227</v>
      </c>
      <c r="D22" s="158">
        <f t="shared" ref="D22:M22" si="8">IF(D6="","",D14-MAX(D16,0)-MAX(D17,0)-ABS(MAX(D21,0)-MAX(D19,0)))</f>
        <v>30992.483870967742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0.226795396042729</v>
      </c>
      <c r="D23" s="151">
        <f t="shared" si="9"/>
        <v>0.30863454718338817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32334.9</v>
      </c>
      <c r="D24" s="77">
        <f>IF(D6="","",D22*(1-Fin_Analysis!$I$84))</f>
        <v>24019.174999999999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0.34621193275789042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257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2.8609905101246377E-2</v>
      </c>
      <c r="D40" s="154">
        <f t="shared" si="34"/>
        <v>4.1079872532894739E-2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0.11648068007266453</v>
      </c>
      <c r="D41" s="151">
        <f t="shared" si="35"/>
        <v>0.21779913651315788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0.54295694135635775</v>
      </c>
      <c r="D43" s="151">
        <f t="shared" si="37"/>
        <v>0.32149465460526316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1.9313252769435827E-2</v>
      </c>
      <c r="D44" s="151">
        <f t="shared" si="38"/>
        <v>2.1388210950764007E-2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0.29263922070029547</v>
      </c>
      <c r="D46" s="151">
        <f t="shared" si="40"/>
        <v>0.3982381253979202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243</v>
      </c>
      <c r="C47" s="276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249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250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251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241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245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1.8553799455077948</v>
      </c>
      <c r="D55" s="151">
        <f t="shared" si="47"/>
        <v>0.80729250692415533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264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247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248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0</v>
      </c>
      <c r="K3" s="24"/>
    </row>
    <row r="4" spans="1:11" ht="15" customHeight="1" x14ac:dyDescent="0.4">
      <c r="B4" s="3" t="s">
        <v>23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26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0</v>
      </c>
      <c r="J12" s="86"/>
      <c r="K12" s="24"/>
    </row>
    <row r="13" spans="1:11" ht="13.9" x14ac:dyDescent="0.4">
      <c r="B13" s="3" t="s">
        <v>112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0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0</v>
      </c>
      <c r="J34" s="86"/>
    </row>
    <row r="35" spans="2:10" ht="13.9" x14ac:dyDescent="0.4">
      <c r="B35" s="3" t="s">
        <v>66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81</v>
      </c>
      <c r="I48" s="277">
        <f>I49-I28</f>
        <v>0</v>
      </c>
      <c r="J48" s="8"/>
    </row>
    <row r="49" spans="2:11" ht="15" customHeight="1" thickTop="1" x14ac:dyDescent="0.4">
      <c r="B49" s="3" t="s">
        <v>14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82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142573</v>
      </c>
      <c r="D74" s="204"/>
      <c r="E74" s="233">
        <f>Inputs!E91</f>
        <v>142573</v>
      </c>
      <c r="F74" s="204"/>
      <c r="H74" s="233">
        <f>Inputs!F91</f>
        <v>142573</v>
      </c>
      <c r="I74" s="204"/>
      <c r="K74" s="24"/>
    </row>
    <row r="75" spans="1:11" ht="15" customHeight="1" x14ac:dyDescent="0.4">
      <c r="B75" s="103" t="s">
        <v>102</v>
      </c>
      <c r="C75" s="77">
        <f>Data!C8</f>
        <v>4079</v>
      </c>
      <c r="D75" s="156">
        <f>C75/$C$74</f>
        <v>2.8609905101246377E-2</v>
      </c>
      <c r="E75" s="233">
        <f>Inputs!E92</f>
        <v>4078.9999999999995</v>
      </c>
      <c r="F75" s="157">
        <f>E75/E74</f>
        <v>2.8609905101246377E-2</v>
      </c>
      <c r="H75" s="233">
        <f>Inputs!F92</f>
        <v>4078.9999999999995</v>
      </c>
      <c r="I75" s="157">
        <f>H75/$H$74</f>
        <v>2.8609905101246377E-2</v>
      </c>
      <c r="K75" s="24"/>
    </row>
    <row r="76" spans="1:11" ht="15" customHeight="1" x14ac:dyDescent="0.4">
      <c r="B76" s="35" t="s">
        <v>92</v>
      </c>
      <c r="C76" s="158">
        <f>C74-C75</f>
        <v>138494</v>
      </c>
      <c r="D76" s="205"/>
      <c r="E76" s="159">
        <f>E74-E75</f>
        <v>138494</v>
      </c>
      <c r="F76" s="205"/>
      <c r="H76" s="159">
        <f>H74-H75</f>
        <v>138494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16607</v>
      </c>
      <c r="D77" s="156">
        <f>C77/$C$74</f>
        <v>0.11648068007266453</v>
      </c>
      <c r="E77" s="233">
        <f>Inputs!E93</f>
        <v>16607</v>
      </c>
      <c r="F77" s="157">
        <f>E77/E74</f>
        <v>0.11648068007266453</v>
      </c>
      <c r="H77" s="233">
        <f>Inputs!F93</f>
        <v>16607</v>
      </c>
      <c r="I77" s="157">
        <f>H77/$H$74</f>
        <v>0.11648068007266453</v>
      </c>
      <c r="K77" s="24"/>
    </row>
    <row r="78" spans="1:11" ht="15" customHeight="1" x14ac:dyDescent="0.4">
      <c r="B78" s="73" t="s">
        <v>161</v>
      </c>
      <c r="C78" s="77">
        <f>MAX(Data!C12,0)</f>
        <v>2753.5483870967741</v>
      </c>
      <c r="D78" s="156">
        <f>C78/$C$74</f>
        <v>1.9313252769435827E-2</v>
      </c>
      <c r="E78" s="177">
        <f>E74*F78</f>
        <v>2753.5483870967741</v>
      </c>
      <c r="F78" s="157">
        <f>I78</f>
        <v>1.9313252769435827E-2</v>
      </c>
      <c r="H78" s="233">
        <f>Inputs!F97</f>
        <v>2753.5483870967741</v>
      </c>
      <c r="I78" s="157">
        <f>H78/$H$74</f>
        <v>1.9313252769435827E-2</v>
      </c>
      <c r="K78" s="24"/>
    </row>
    <row r="79" spans="1:11" ht="15" customHeight="1" x14ac:dyDescent="0.4">
      <c r="B79" s="251" t="s">
        <v>217</v>
      </c>
      <c r="C79" s="252">
        <f>C76-C77-C78</f>
        <v>119133.45161290323</v>
      </c>
      <c r="D79" s="253">
        <f>C79/C74</f>
        <v>0.83559616205665332</v>
      </c>
      <c r="E79" s="254">
        <f>E76-E77-E78</f>
        <v>119133.45161290323</v>
      </c>
      <c r="F79" s="253">
        <f>E79/E74</f>
        <v>0.83559616205665332</v>
      </c>
      <c r="G79" s="255"/>
      <c r="H79" s="254">
        <f>H76-H77-H78</f>
        <v>119133.45161290323</v>
      </c>
      <c r="I79" s="253">
        <f>H79/H74</f>
        <v>0.83559616205665332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236</v>
      </c>
      <c r="C81" s="77">
        <f>MAX(Data!C17,0)</f>
        <v>77411</v>
      </c>
      <c r="D81" s="156">
        <f>C81/$C$74</f>
        <v>0.54295694135635775</v>
      </c>
      <c r="E81" s="177">
        <f>E74*F81</f>
        <v>77411</v>
      </c>
      <c r="F81" s="157">
        <f>I81</f>
        <v>0.54295694135635775</v>
      </c>
      <c r="H81" s="233">
        <f>Inputs!F94</f>
        <v>77411</v>
      </c>
      <c r="I81" s="157">
        <f>H81/$H$74</f>
        <v>0.54295694135635775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41722.451612903227</v>
      </c>
      <c r="D83" s="161">
        <f>C83/$C$74</f>
        <v>0.29263922070029547</v>
      </c>
      <c r="E83" s="162">
        <f>E79-E81-E82-E80</f>
        <v>41722.451612903227</v>
      </c>
      <c r="F83" s="161">
        <f>E83/E74</f>
        <v>0.29263922070029547</v>
      </c>
      <c r="H83" s="162">
        <f>H79-H81-H82-H80</f>
        <v>41722.451612903227</v>
      </c>
      <c r="I83" s="161">
        <f>H83/$H$74</f>
        <v>0.29263922070029547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0.22500000000000001</v>
      </c>
      <c r="E84" s="207"/>
      <c r="F84" s="176">
        <f t="shared" ref="F84" si="3">I84</f>
        <v>0.22500000000000001</v>
      </c>
      <c r="H84" s="207"/>
      <c r="I84" s="199">
        <f>Inputs!C16</f>
        <v>0.22500000000000001</v>
      </c>
      <c r="K84" s="24"/>
    </row>
    <row r="85" spans="1:11" ht="15" customHeight="1" x14ac:dyDescent="0.4">
      <c r="B85" s="258" t="s">
        <v>156</v>
      </c>
      <c r="C85" s="252">
        <f>C83*(1-I84)</f>
        <v>32334.9</v>
      </c>
      <c r="D85" s="253">
        <f>C85/$C$74</f>
        <v>0.226795396042729</v>
      </c>
      <c r="E85" s="259">
        <f>E83*(1-F84)</f>
        <v>32334.9</v>
      </c>
      <c r="F85" s="253">
        <f>E85/E74</f>
        <v>0.226795396042729</v>
      </c>
      <c r="G85" s="255"/>
      <c r="H85" s="259">
        <f>H83*(1-I84)</f>
        <v>32334.9</v>
      </c>
      <c r="I85" s="253">
        <f>H85/$H$74</f>
        <v>0.226795396042729</v>
      </c>
      <c r="K85" s="24"/>
    </row>
    <row r="86" spans="1:11" ht="15" customHeight="1" x14ac:dyDescent="0.4">
      <c r="B86" s="86" t="s">
        <v>152</v>
      </c>
      <c r="C86" s="164">
        <f>C85*Data!C4/Common_Shares</f>
        <v>3.0583157113349584</v>
      </c>
      <c r="D86" s="204"/>
      <c r="E86" s="165">
        <f>E85*Data!C4/Common_Shares</f>
        <v>3.0583157113349584</v>
      </c>
      <c r="F86" s="204"/>
      <c r="H86" s="165">
        <f>H85*Data!C4/Common_Shares</f>
        <v>3.0583157113349584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0.12406960289391313</v>
      </c>
      <c r="D87" s="204"/>
      <c r="E87" s="257">
        <f>E86*Exchange_Rate/Dashboard!G3</f>
        <v>0.12406960289391313</v>
      </c>
      <c r="F87" s="204"/>
      <c r="H87" s="257">
        <f>H86*Exchange_Rate/Dashboard!G3</f>
        <v>0.12406960289391313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1.7149999999999999</v>
      </c>
      <c r="D88" s="163">
        <f>C88/C86</f>
        <v>0.56076617389229588</v>
      </c>
      <c r="E88" s="167">
        <f>Inputs!E98</f>
        <v>1.48</v>
      </c>
      <c r="F88" s="163">
        <f>E88/E86</f>
        <v>0.48392649408781224</v>
      </c>
      <c r="H88" s="167">
        <f>Inputs!F98</f>
        <v>1.48</v>
      </c>
      <c r="I88" s="163">
        <f>H88/H86</f>
        <v>0.48392649408781224</v>
      </c>
      <c r="K88" s="24"/>
    </row>
    <row r="89" spans="1:11" ht="15" customHeight="1" x14ac:dyDescent="0.4">
      <c r="B89" s="86" t="s">
        <v>206</v>
      </c>
      <c r="C89" s="256">
        <f>C88*Exchange_Rate/Dashboard!G3</f>
        <v>6.9574036511156179E-2</v>
      </c>
      <c r="D89" s="204"/>
      <c r="E89" s="256">
        <f>E88*Exchange_Rate/Dashboard!G3</f>
        <v>6.0040567951318465E-2</v>
      </c>
      <c r="F89" s="204"/>
      <c r="H89" s="256">
        <f>H88*Exchange_Rate/Dashboard!G3</f>
        <v>6.0040567951318465E-2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HK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195</v>
      </c>
      <c r="F93" s="142">
        <f>FV(E87,D93,0,-(E86/(C93-D94)))*Exchange_Rate</f>
        <v>90.530846886518219</v>
      </c>
      <c r="H93" s="86" t="s">
        <v>195</v>
      </c>
      <c r="I93" s="142">
        <f>FV(H87,D93,0,-(H86/(C93-D94)))*Exchange_Rate</f>
        <v>90.530846886518219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32.675511472618211</v>
      </c>
      <c r="H94" s="86" t="s">
        <v>196</v>
      </c>
      <c r="I94" s="142">
        <f>FV(H89,D93,0,-(H88/(C93-D94)))*Exchange_Rate</f>
        <v>32.675511472618211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475879.05190313078</v>
      </c>
      <c r="D97" s="208"/>
      <c r="E97" s="121">
        <f>PV(C94,D93,0,-F93)</f>
        <v>45.009830898828483</v>
      </c>
      <c r="F97" s="208"/>
      <c r="H97" s="121">
        <f>PV(C94,D93,0,-I93)</f>
        <v>45.009830898828483</v>
      </c>
      <c r="I97" s="121">
        <f>PV(C93,D93,0,-I93)</f>
        <v>61.435801707899905</v>
      </c>
      <c r="K97" s="24"/>
    </row>
    <row r="98" spans="2:11" ht="15" customHeight="1" x14ac:dyDescent="0.4">
      <c r="B98" s="28" t="s">
        <v>139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140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475879.05190313078</v>
      </c>
      <c r="D100" s="108">
        <f>MIN(F100*(1-C94),E100)</f>
        <v>38.258356264004206</v>
      </c>
      <c r="E100" s="108">
        <f>MAX(E97+H98+E99,0)</f>
        <v>45.009830898828483</v>
      </c>
      <c r="F100" s="108">
        <f>(E100+H100)/2</f>
        <v>45.009830898828483</v>
      </c>
      <c r="H100" s="108">
        <f>MAX(C100*Data!$C$4/Common_Shares,0)</f>
        <v>45.009830898828483</v>
      </c>
      <c r="I100" s="108">
        <f>MAX(I97+H98+H99,0)</f>
        <v>61.435801707899905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171760.14535168407</v>
      </c>
      <c r="D103" s="108">
        <f>MIN(F103*(1-C94),E103)</f>
        <v>13.808678500434416</v>
      </c>
      <c r="E103" s="121">
        <f>PV(C94,D93,0,-F94)</f>
        <v>16.245504118158138</v>
      </c>
      <c r="F103" s="108">
        <f>(E103+H103)/2</f>
        <v>16.245504118158138</v>
      </c>
      <c r="H103" s="121">
        <f>PV(C94,D93,0,-I94)</f>
        <v>16.245504118158138</v>
      </c>
      <c r="I103" s="108">
        <f>PV(C93,D93,0,-I94)</f>
        <v>22.174168392043708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323819.59862740745</v>
      </c>
      <c r="D106" s="108">
        <f>(D100+D103)/2</f>
        <v>26.033517382219312</v>
      </c>
      <c r="E106" s="121">
        <f>(E100+E103)/2</f>
        <v>30.62766750849331</v>
      </c>
      <c r="F106" s="108">
        <f>(F100+F103)/2</f>
        <v>30.62766750849331</v>
      </c>
      <c r="H106" s="121">
        <f>(H100+H103)/2</f>
        <v>30.62766750849331</v>
      </c>
      <c r="I106" s="121">
        <f>(I100+I103)/2</f>
        <v>41.804985049971805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