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CDE8768-7548-4827-B708-31574F9E27B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47" i="4"/>
  <c r="C49" i="3"/>
  <c r="H56" i="2"/>
  <c r="L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J27" i="2"/>
  <c r="G56" i="2"/>
  <c r="F56" i="2"/>
  <c r="M56" i="2"/>
  <c r="E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<sst xmlns="http://schemas.openxmlformats.org/spreadsheetml/2006/main" count="393" uniqueCount="277">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</sst>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268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2454657755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175</v>
      </c>
    </row>
    <row r="16" spans="1:5" ht="13.9" x14ac:dyDescent="0.4">
      <c r="B16" s="217" t="s">
        <v>92</v>
      </c>
      <c r="C16" s="218">
        <v>0.23499999999999999</v>
      </c>
      <c r="D16" s="24" t="s">
        <v>271</v>
      </c>
      <c r="E16" s="109" t="s">
        <v>265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38292</v>
      </c>
      <c r="D25" s="147">
        <v>24836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1323</v>
      </c>
      <c r="D26" s="148">
        <v>1695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11551</v>
      </c>
      <c r="D27" s="148">
        <v>10913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19458</v>
      </c>
      <c r="D29" s="148">
        <v>7659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-7</v>
      </c>
      <c r="D30" s="148">
        <v>-46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257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256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262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0.21+0.09</f>
        <v>0.3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2.4682053565474146E-2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239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238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260</v>
      </c>
      <c r="C82" s="212"/>
    </row>
    <row r="83" spans="2:8" ht="14.25" hidden="1" thickTop="1" x14ac:dyDescent="0.4">
      <c r="B83" s="73" t="s">
        <v>261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38292</v>
      </c>
      <c r="D91" s="204"/>
      <c r="E91" s="246">
        <f>C91</f>
        <v>38292</v>
      </c>
      <c r="F91" s="246">
        <f>C91</f>
        <v>38292</v>
      </c>
    </row>
    <row r="92" spans="2:8" ht="13.9" x14ac:dyDescent="0.4">
      <c r="B92" s="103" t="s">
        <v>101</v>
      </c>
      <c r="C92" s="77">
        <f>C26</f>
        <v>1323</v>
      </c>
      <c r="D92" s="156">
        <f>C92/C91</f>
        <v>3.4550297712315887E-2</v>
      </c>
      <c r="E92" s="247">
        <f>E91*D92</f>
        <v>1323</v>
      </c>
      <c r="F92" s="247">
        <f>F91*D92</f>
        <v>1323</v>
      </c>
    </row>
    <row r="93" spans="2:8" ht="13.9" x14ac:dyDescent="0.4">
      <c r="B93" s="103" t="s">
        <v>228</v>
      </c>
      <c r="C93" s="77">
        <f>C27+C28</f>
        <v>11551</v>
      </c>
      <c r="D93" s="156">
        <f>C93/C91</f>
        <v>0.30165569831818656</v>
      </c>
      <c r="E93" s="247">
        <f>E91*D93</f>
        <v>11551</v>
      </c>
      <c r="F93" s="247">
        <f>F91*D93</f>
        <v>11551</v>
      </c>
    </row>
    <row r="94" spans="2:8" ht="13.9" x14ac:dyDescent="0.4">
      <c r="B94" s="103" t="s">
        <v>235</v>
      </c>
      <c r="C94" s="77">
        <f>C29</f>
        <v>19458</v>
      </c>
      <c r="D94" s="156">
        <f>C94/C91</f>
        <v>0.50814791601378884</v>
      </c>
      <c r="E94" s="248"/>
      <c r="F94" s="247">
        <f>F91*D94</f>
        <v>19458.000000000004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0.3</v>
      </c>
      <c r="D98" s="261"/>
      <c r="E98" s="249">
        <f>F98</f>
        <v>0.3</v>
      </c>
      <c r="F98" s="249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2888.HK</v>
      </c>
      <c r="D3" s="291"/>
      <c r="E3" s="86"/>
      <c r="F3" s="3" t="s">
        <v>1</v>
      </c>
      <c r="G3" s="130">
        <v>94.45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Standard Chartered</v>
      </c>
      <c r="D4" s="293"/>
      <c r="E4" s="86"/>
      <c r="F4" s="3" t="s">
        <v>2</v>
      </c>
      <c r="G4" s="296">
        <f>Inputs!C10</f>
        <v>2454657755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231842.42495975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7.7707331975301104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255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246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251</v>
      </c>
      <c r="C21" s="283">
        <f>Data!C13</f>
        <v>0.6637940039694975</v>
      </c>
      <c r="F21" s="86"/>
      <c r="G21" s="29"/>
    </row>
    <row r="22" spans="1:8" ht="15.75" customHeight="1" x14ac:dyDescent="0.4">
      <c r="B22" s="273" t="s">
        <v>258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264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252</v>
      </c>
      <c r="C24" s="281">
        <f>Fin_Analysis!I81</f>
        <v>0.50814791601378884</v>
      </c>
      <c r="F24" s="138" t="s">
        <v>237</v>
      </c>
      <c r="G24" s="263">
        <f>G3/(Fin_Analysis!H86*G7)</f>
        <v>6.5436975457810354</v>
      </c>
    </row>
    <row r="25" spans="1:8" ht="15.75" customHeight="1" x14ac:dyDescent="0.4">
      <c r="B25" s="135" t="s">
        <v>253</v>
      </c>
      <c r="C25" s="168">
        <f>Fin_Analysis!I80</f>
        <v>0</v>
      </c>
      <c r="F25" s="138" t="s">
        <v>161</v>
      </c>
      <c r="G25" s="168">
        <f>Fin_Analysis!I88</f>
        <v>0.1615118933412292</v>
      </c>
    </row>
    <row r="26" spans="1:8" ht="15.75" customHeight="1" x14ac:dyDescent="0.4">
      <c r="B26" s="136" t="s">
        <v>254</v>
      </c>
      <c r="C26" s="168">
        <f>Fin_Analysis!I80+Fin_Analysis!I82</f>
        <v>0</v>
      </c>
      <c r="F26" s="139" t="s">
        <v>178</v>
      </c>
      <c r="G26" s="175">
        <f>Fin_Analysis!H88*Exchange_Rate/G3</f>
        <v>2.4682053565474146E-2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18.357218404778941</v>
      </c>
      <c r="D29" s="127">
        <f>G29*(1+G20)</f>
        <v>33.90001873965921</v>
      </c>
      <c r="E29" s="86"/>
      <c r="F29" s="129">
        <f>IF(Fin_Analysis!C108="Profit",Fin_Analysis!F100,IF(Fin_Analysis!C108="Dividend",Fin_Analysis!F103,Fin_Analysis!F106))</f>
        <v>21.596727535034049</v>
      </c>
      <c r="G29" s="287">
        <f>IF(Fin_Analysis!C108="Profit",Fin_Analysis!I100,IF(Fin_Analysis!C108="Dividend",Fin_Analysis!I103,Fin_Analysis!I106))</f>
        <v>29.478277164921057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25418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38292</v>
      </c>
      <c r="D6" s="197">
        <f>IF(Inputs!D25="","",Inputs!D25)</f>
        <v>24836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0.54179416975358352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1323</v>
      </c>
      <c r="D8" s="196">
        <f>IF(Inputs!D26="","",Inputs!D26)</f>
        <v>1695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36969</v>
      </c>
      <c r="D9" s="149">
        <f t="shared" si="2"/>
        <v>23141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11551</v>
      </c>
      <c r="D10" s="196">
        <f>IF(Inputs!D27="","",Inputs!D27)</f>
        <v>10913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0.6637940039694975</v>
      </c>
      <c r="D13" s="224">
        <f t="shared" si="3"/>
        <v>0.49234981478498951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25418</v>
      </c>
      <c r="D14" s="225">
        <f t="shared" ref="D14:M14" si="4">IF(D6="","",D9-D10-MAX(D11,0)-MAX(D12,0))</f>
        <v>12228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1.0786719005561007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19458</v>
      </c>
      <c r="D17" s="196">
        <f>IF(Inputs!D29="","",Inputs!D29)</f>
        <v>7659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5960</v>
      </c>
      <c r="D22" s="158">
        <f t="shared" ref="D22:M22" si="8">IF(D6="","",D14-MAX(D16,0)-MAX(D17,0)-ABS(MAX(D21,0)-MAX(D19,0)))</f>
        <v>4569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0.1190692572861172</v>
      </c>
      <c r="D23" s="151">
        <f t="shared" si="9"/>
        <v>0.14073461910130455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0.3044429853359597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256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3.4550297712315887E-2</v>
      </c>
      <c r="D40" s="154">
        <f t="shared" si="34"/>
        <v>6.8247704944435494E-2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0.30165569831818656</v>
      </c>
      <c r="D41" s="151">
        <f t="shared" si="35"/>
        <v>0.43940248027057499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0.50814791601378884</v>
      </c>
      <c r="D43" s="151">
        <f t="shared" si="37"/>
        <v>0.30838299243034306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0.15564608795570875</v>
      </c>
      <c r="D46" s="151">
        <f t="shared" si="40"/>
        <v>0.18396682235464648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242</v>
      </c>
      <c r="C47" s="276" t="s">
        <v>259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248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249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244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3.2647651006711409</v>
      </c>
      <c r="D55" s="151">
        <f t="shared" si="47"/>
        <v>1.6762967826657913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245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246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247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38292</v>
      </c>
      <c r="D74" s="204"/>
      <c r="E74" s="233">
        <f>Inputs!E91</f>
        <v>38292</v>
      </c>
      <c r="F74" s="204"/>
      <c r="H74" s="233">
        <f>Inputs!F91</f>
        <v>38292</v>
      </c>
      <c r="I74" s="204"/>
      <c r="K74" s="24"/>
    </row>
    <row r="75" spans="1:11" ht="15" customHeight="1" x14ac:dyDescent="0.4">
      <c r="B75" s="103" t="s">
        <v>101</v>
      </c>
      <c r="C75" s="77">
        <f>Data!C8</f>
        <v>1323</v>
      </c>
      <c r="D75" s="156">
        <f>C75/$C$74</f>
        <v>3.4550297712315887E-2</v>
      </c>
      <c r="E75" s="233">
        <f>Inputs!E92</f>
        <v>1323</v>
      </c>
      <c r="F75" s="157">
        <f>E75/E74</f>
        <v>3.4550297712315887E-2</v>
      </c>
      <c r="H75" s="233">
        <f>Inputs!F92</f>
        <v>1323</v>
      </c>
      <c r="I75" s="157">
        <f>H75/$H$74</f>
        <v>3.4550297712315887E-2</v>
      </c>
      <c r="K75" s="24"/>
    </row>
    <row r="76" spans="1:11" ht="15" customHeight="1" x14ac:dyDescent="0.4">
      <c r="B76" s="35" t="s">
        <v>91</v>
      </c>
      <c r="C76" s="158">
        <f>C74-C75</f>
        <v>36969</v>
      </c>
      <c r="D76" s="205"/>
      <c r="E76" s="159">
        <f>E74-E75</f>
        <v>36969</v>
      </c>
      <c r="F76" s="205"/>
      <c r="H76" s="159">
        <f>H74-H75</f>
        <v>36969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11551</v>
      </c>
      <c r="D77" s="156">
        <f>C77/$C$74</f>
        <v>0.30165569831818656</v>
      </c>
      <c r="E77" s="233">
        <f>Inputs!E93</f>
        <v>11551</v>
      </c>
      <c r="F77" s="157">
        <f>E77/E74</f>
        <v>0.30165569831818656</v>
      </c>
      <c r="H77" s="233">
        <f>Inputs!F93</f>
        <v>11551</v>
      </c>
      <c r="I77" s="157">
        <f>H77/$H$74</f>
        <v>0.30165569831818656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25418</v>
      </c>
      <c r="D79" s="253">
        <f>C79/C74</f>
        <v>0.6637940039694975</v>
      </c>
      <c r="E79" s="254">
        <f>E76-E77-E78</f>
        <v>25418</v>
      </c>
      <c r="F79" s="253">
        <f>E79/E74</f>
        <v>0.6637940039694975</v>
      </c>
      <c r="G79" s="255"/>
      <c r="H79" s="254">
        <f>H76-H77-H78</f>
        <v>25418</v>
      </c>
      <c r="I79" s="253">
        <f>H79/H74</f>
        <v>0.6637940039694975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19458</v>
      </c>
      <c r="D81" s="156">
        <f>C81/$C$74</f>
        <v>0.50814791601378884</v>
      </c>
      <c r="E81" s="177">
        <f>E74*F81</f>
        <v>19458.000000000004</v>
      </c>
      <c r="F81" s="157">
        <f>I81</f>
        <v>0.50814791601378884</v>
      </c>
      <c r="H81" s="233">
        <f>Inputs!F94</f>
        <v>19458.000000000004</v>
      </c>
      <c r="I81" s="157">
        <f>H81/$H$74</f>
        <v>0.50814791601378884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5960</v>
      </c>
      <c r="D83" s="161">
        <f>C83/$C$74</f>
        <v>0.15564608795570875</v>
      </c>
      <c r="E83" s="162">
        <f>E79-E81-E82-E80</f>
        <v>5959.9999999999964</v>
      </c>
      <c r="F83" s="161">
        <f>E83/E74</f>
        <v>0.15564608795570867</v>
      </c>
      <c r="H83" s="162">
        <f>H79-H81-H82-H80</f>
        <v>5959.9999999999964</v>
      </c>
      <c r="I83" s="161">
        <f>H83/$H$74</f>
        <v>0.15564608795570867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155</v>
      </c>
      <c r="C85" s="252">
        <f>C83*(1-I84)</f>
        <v>4559.3999999999996</v>
      </c>
      <c r="D85" s="253">
        <f>C85/$C$74</f>
        <v>0.1190692572861172</v>
      </c>
      <c r="E85" s="259">
        <f>E83*(1-F84)</f>
        <v>4559.3999999999969</v>
      </c>
      <c r="F85" s="253">
        <f>E85/E74</f>
        <v>0.11906925728611713</v>
      </c>
      <c r="G85" s="255"/>
      <c r="H85" s="259">
        <f>H83*(1-I84)</f>
        <v>4559.3999999999969</v>
      </c>
      <c r="I85" s="253">
        <f>H85/$H$74</f>
        <v>0.11906925728611713</v>
      </c>
      <c r="K85" s="24"/>
    </row>
    <row r="86" spans="1:11" ht="15" customHeight="1" x14ac:dyDescent="0.4">
      <c r="B86" s="86" t="s">
        <v>151</v>
      </c>
      <c r="C86" s="164">
        <f>C85*Data!C4/Common_Shares</f>
        <v>1.8574483512875708</v>
      </c>
      <c r="D86" s="204"/>
      <c r="E86" s="165">
        <f>E85*Data!C4/Common_Shares</f>
        <v>1.8574483512875697</v>
      </c>
      <c r="F86" s="204"/>
      <c r="H86" s="165">
        <f>H85*Data!C4/Common_Shares</f>
        <v>1.8574483512875697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0.15281879900527154</v>
      </c>
      <c r="D87" s="204"/>
      <c r="E87" s="257">
        <f>E86*Exchange_Rate/Dashboard!G3</f>
        <v>0.15281879900527146</v>
      </c>
      <c r="F87" s="204"/>
      <c r="H87" s="257">
        <f>H86*Exchange_Rate/Dashboard!G3</f>
        <v>0.15281879900527146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</v>
      </c>
      <c r="D88" s="163">
        <f>C88/C86</f>
        <v>0.16151189334122912</v>
      </c>
      <c r="E88" s="167">
        <f>Inputs!E98</f>
        <v>0.3</v>
      </c>
      <c r="F88" s="163">
        <f>E88/E86</f>
        <v>0.1615118933412292</v>
      </c>
      <c r="H88" s="167">
        <f>Inputs!F98</f>
        <v>0.3</v>
      </c>
      <c r="I88" s="163">
        <f>H88/H86</f>
        <v>0.1615118933412292</v>
      </c>
      <c r="K88" s="24"/>
    </row>
    <row r="89" spans="1:11" ht="15" customHeight="1" x14ac:dyDescent="0.4">
      <c r="B89" s="86" t="s">
        <v>205</v>
      </c>
      <c r="C89" s="256">
        <f>C88*Exchange_Rate/Dashboard!G3</f>
        <v>2.4682053565474146E-2</v>
      </c>
      <c r="D89" s="204"/>
      <c r="E89" s="256">
        <f>E88*Exchange_Rate/Dashboard!G3</f>
        <v>2.4682053565474146E-2</v>
      </c>
      <c r="F89" s="204"/>
      <c r="H89" s="256">
        <f>H88*Exchange_Rate/Dashboard!G3</f>
        <v>2.4682053565474146E-2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484.76610075612678</v>
      </c>
      <c r="H93" s="86" t="s">
        <v>194</v>
      </c>
      <c r="I93" s="142">
        <f>FV(H87,D93,0,-(H86/(C93-D94)))*Exchange_Rate</f>
        <v>484.76610075612678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43.43873315406988</v>
      </c>
      <c r="H94" s="86" t="s">
        <v>195</v>
      </c>
      <c r="I94" s="142">
        <f>FV(H89,D93,0,-(H88/(C93-D94)))*Exchange_Rate</f>
        <v>43.43873315406988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591607.93317926698</v>
      </c>
      <c r="D97" s="208"/>
      <c r="E97" s="121">
        <f>PV(C94,D93,0,-F93)</f>
        <v>241.01442735721295</v>
      </c>
      <c r="F97" s="208"/>
      <c r="H97" s="121">
        <f>PV(C94,D93,0,-I93)</f>
        <v>241.01442735721295</v>
      </c>
      <c r="I97" s="121">
        <f>PV(C93,D93,0,-I93)</f>
        <v>328.97067756471347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591607.93317926698</v>
      </c>
      <c r="D100" s="108">
        <f>MIN(F100*(1-C94),E100)</f>
        <v>204.86226325363103</v>
      </c>
      <c r="E100" s="108">
        <f>MAX(E97+H98+E99,0)</f>
        <v>241.01442735721295</v>
      </c>
      <c r="F100" s="108">
        <f>(E100+H100)/2</f>
        <v>241.01442735721298</v>
      </c>
      <c r="H100" s="108">
        <f>MAX(C100*Data!$C$4/Common_Shares,0)</f>
        <v>241.01442735721298</v>
      </c>
      <c r="I100" s="108">
        <f>MAX(I97+H98+H99,0)</f>
        <v>328.97067756471347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53012.57472649336</v>
      </c>
      <c r="D103" s="108">
        <f>MIN(F103*(1-C94),E103)</f>
        <v>18.357218404778941</v>
      </c>
      <c r="E103" s="121">
        <f>PV(C94,D93,0,-F94)</f>
        <v>21.596727535034049</v>
      </c>
      <c r="F103" s="108">
        <f>(E103+H103)/2</f>
        <v>21.596727535034049</v>
      </c>
      <c r="H103" s="121">
        <f>PV(C94,D93,0,-I94)</f>
        <v>21.596727535034049</v>
      </c>
      <c r="I103" s="108">
        <f>PV(C93,D93,0,-I94)</f>
        <v>29.478277164921057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322310.2539528801</v>
      </c>
      <c r="D106" s="108">
        <f>(D100+D103)/2</f>
        <v>111.60974082920498</v>
      </c>
      <c r="E106" s="121">
        <f>(E100+E103)/2</f>
        <v>131.30557744612349</v>
      </c>
      <c r="F106" s="108">
        <f>(F100+F103)/2</f>
        <v>131.30557744612352</v>
      </c>
      <c r="H106" s="121">
        <f>(H100+H103)/2</f>
        <v>131.30557744612352</v>
      </c>
      <c r="I106" s="121">
        <f>(I100+I103)/2</f>
        <v>179.22447736481726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