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304143-F15B-488B-80CF-1A8B1A09170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<sst xmlns="http://schemas.openxmlformats.org/spreadsheetml/2006/main" count="390" uniqueCount="271">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</sst>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265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677426000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8.184523809523811E-2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0116.HK</v>
      </c>
      <c r="D3" s="278"/>
      <c r="E3" s="87"/>
      <c r="F3" s="3" t="s">
        <v>1</v>
      </c>
      <c r="G3" s="132">
        <v>6.72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周生生</v>
      </c>
      <c r="D4" s="280"/>
      <c r="E4" s="87"/>
      <c r="F4" s="3" t="s">
        <v>3</v>
      </c>
      <c r="G4" s="283">
        <f>Inputs!C10</f>
        <v>677426000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4552.3027199999997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0.73600077942413045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5.1931891220120593E-3</v>
      </c>
      <c r="F24" s="140" t="s">
        <v>260</v>
      </c>
      <c r="G24" s="268">
        <f>G3/(Fin_Analysis!H86*G7)</f>
        <v>6.0783098081534197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0.49748071346493766</v>
      </c>
    </row>
    <row r="26" spans="1:8" ht="15.75" customHeight="1" x14ac:dyDescent="0.4">
      <c r="B26" s="138" t="s">
        <v>174</v>
      </c>
      <c r="C26" s="171">
        <f>Fin_Analysis!I83</f>
        <v>4.9902853833308697E-2</v>
      </c>
      <c r="F26" s="141" t="s">
        <v>194</v>
      </c>
      <c r="G26" s="178">
        <f>Fin_Analysis!H88*Exchange_Rate/G3</f>
        <v>8.184523809523811E-2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5.4278115445621662</v>
      </c>
      <c r="D29" s="129">
        <f>G29*(1+G20)</f>
        <v>11.803387916692893</v>
      </c>
      <c r="E29" s="87"/>
      <c r="F29" s="131">
        <f>IF(Fin_Analysis!C108="Profit",Fin_Analysis!F100,IF(Fin_Analysis!C108="Dividend",Fin_Analysis!F103,Fin_Analysis!F106))</f>
        <v>6.3856606406613725</v>
      </c>
      <c r="G29" s="274">
        <f>IF(Fin_Analysis!C108="Profit",Fin_Analysis!I100,IF(Fin_Analysis!C108="Dividend",Fin_Analysis!I103,Fin_Analysis!I106))</f>
        <v>10.263815579732951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0.10406597465064728</v>
      </c>
      <c r="D55" s="153">
        <f t="shared" si="45"/>
        <v>-0.4553849577214063</v>
      </c>
      <c r="E55" s="153">
        <f t="shared" si="45"/>
        <v>6.5427687834448023E-2</v>
      </c>
      <c r="F55" s="153">
        <f t="shared" si="45"/>
        <v>8.3942567526595541E-2</v>
      </c>
      <c r="G55" s="153">
        <f t="shared" si="45"/>
        <v>7.3234698143629109E-2</v>
      </c>
      <c r="H55" s="153">
        <f t="shared" si="45"/>
        <v>3.0687102059439617E-2</v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96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161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0.20564927413263062</v>
      </c>
      <c r="D87" s="209"/>
      <c r="E87" s="262">
        <f>E86*Exchange_Rate/Dashboard!G3</f>
        <v>0.14395449189284143</v>
      </c>
      <c r="F87" s="209"/>
      <c r="H87" s="262">
        <f>H86*Exchange_Rate/Dashboard!G3</f>
        <v>0.1645194193061045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222</v>
      </c>
      <c r="C89" s="261">
        <f>C88*Exchange_Rate/Dashboard!G3</f>
        <v>8.184523809523811E-2</v>
      </c>
      <c r="D89" s="209"/>
      <c r="E89" s="261">
        <f>E88*Exchange_Rate/Dashboard!G3</f>
        <v>6.5476190476190493E-2</v>
      </c>
      <c r="F89" s="209"/>
      <c r="H89" s="261">
        <f>H88*Exchange_Rate/Dashboard!G3</f>
        <v>8.184523809523811E-2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34.300934441931958</v>
      </c>
      <c r="H93" s="87" t="s">
        <v>210</v>
      </c>
      <c r="I93" s="144">
        <f>FV(H87,D93,0,-(H86/(C93-D94)))*Exchange_Rate</f>
        <v>42.853651587801863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10.935512476116266</v>
      </c>
      <c r="H94" s="87" t="s">
        <v>211</v>
      </c>
      <c r="I94" s="144">
        <f>FV(H89,D93,0,-(H88/(C93-D94)))*Exchange_Rate</f>
        <v>14.752176376943938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14433129.014047028</v>
      </c>
      <c r="D97" s="213"/>
      <c r="E97" s="123">
        <f>PV(C94,D93,0,-F93)</f>
        <v>17.053626603520399</v>
      </c>
      <c r="F97" s="213"/>
      <c r="H97" s="123">
        <f>PV(C94,D93,0,-I93)</f>
        <v>21.305838592033709</v>
      </c>
      <c r="I97" s="123">
        <f>PV(C93,D93,0,-I93)</f>
        <v>29.815395747488086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14433129.014047028</v>
      </c>
      <c r="D100" s="109">
        <f>MIN(F100*(1-C94),E100)</f>
        <v>16.302772708110496</v>
      </c>
      <c r="E100" s="109">
        <f>MAX(E97-H98+E99,0)</f>
        <v>17.053626603520399</v>
      </c>
      <c r="F100" s="109">
        <f>(E100+H100)/2</f>
        <v>19.179732597777054</v>
      </c>
      <c r="H100" s="109">
        <f>MAX(C100*Data!$C$4/Common_Shares,0)</f>
        <v>21.305838592033709</v>
      </c>
      <c r="I100" s="109">
        <f>MAX(I97-H98+H99,0)</f>
        <v>29.815395747488086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4968539.5992488917</v>
      </c>
      <c r="D103" s="109">
        <f>MIN(F103*(1-C94),E103)</f>
        <v>5.4278115445621662</v>
      </c>
      <c r="E103" s="123">
        <f>PV(C94,D93,0,-F94)</f>
        <v>5.4368823916892035</v>
      </c>
      <c r="F103" s="109">
        <f>(E103+H103)/2</f>
        <v>6.3856606406613725</v>
      </c>
      <c r="H103" s="123">
        <f>PV(C94,D93,0,-I94)</f>
        <v>7.3344388896335415</v>
      </c>
      <c r="I103" s="109">
        <f>PV(C93,D93,0,-I94)</f>
        <v>10.263815579732951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7617827.7732944302</v>
      </c>
      <c r="D106" s="109">
        <f>(D100+D103)/2</f>
        <v>10.865292126336332</v>
      </c>
      <c r="E106" s="123">
        <f>(E100+E103)/2</f>
        <v>11.245254497604801</v>
      </c>
      <c r="F106" s="109">
        <f>(F100+F103)/2</f>
        <v>12.782696619219212</v>
      </c>
      <c r="H106" s="123">
        <f>(H100+H103)/2</f>
        <v>14.320138740833626</v>
      </c>
      <c r="I106" s="123">
        <f>(I100+I103)/2</f>
        <v>20.039605663610519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