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C1A236-BEA1-44BB-A51C-42B6983DFC4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E92" i="4"/>
  <c r="F97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<sst xmlns="http://schemas.openxmlformats.org/spreadsheetml/2006/main" count="390" uniqueCount="271">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</sst>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1.8876764354796127E-2</c:v>
                </c:pt>
                <c:pt idx="6">
                  <c:v>5.275513804114592E-2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934412034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45016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2963493</v>
      </c>
      <c r="D26" s="150">
        <v>2930208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541794</v>
      </c>
      <c r="D27" s="150">
        <v>556427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31560</v>
      </c>
      <c r="D29" s="150">
        <v>21677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3110</v>
      </c>
      <c r="D30" s="150">
        <v>3460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-70259</v>
      </c>
      <c r="D31" s="150">
        <v>-27525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274900</v>
      </c>
      <c r="D32" s="150">
        <v>274200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184900</v>
      </c>
      <c r="D33" s="150">
        <v>226600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5.7047902945804169E-2</v>
      </c>
      <c r="D45" s="152">
        <f>IF(D44="","",D44*Exchange_Rate/Dashboard!$G$3)</f>
        <v>4.7710138780762058E-2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45016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207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0179.HK</v>
      </c>
      <c r="D3" s="278"/>
      <c r="E3" s="87"/>
      <c r="F3" s="3" t="s">
        <v>1</v>
      </c>
      <c r="G3" s="132">
        <v>10.66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德昌電機</v>
      </c>
      <c r="D4" s="280"/>
      <c r="E4" s="87"/>
      <c r="F4" s="3" t="s">
        <v>2</v>
      </c>
      <c r="G4" s="283">
        <f>Inputs!C10</f>
        <v>934412034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9960.8322824400002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7.7766067186991377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0.77696054205677556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8.274315042185636E-3</v>
      </c>
      <c r="F24" s="140" t="s">
        <v>258</v>
      </c>
      <c r="G24" s="268">
        <f>G3/(Fin_Analysis!H86*G7)</f>
        <v>8.4873971047502632</v>
      </c>
    </row>
    <row r="25" spans="1:8" ht="15.75" customHeight="1" x14ac:dyDescent="0.4">
      <c r="B25" s="137" t="s">
        <v>243</v>
      </c>
      <c r="C25" s="171">
        <f>Fin_Analysis!I82</f>
        <v>1.8876764354796127E-2</v>
      </c>
      <c r="F25" s="140" t="s">
        <v>174</v>
      </c>
      <c r="G25" s="171">
        <f>Fin_Analysis!I88</f>
        <v>0.48418820629429243</v>
      </c>
    </row>
    <row r="26" spans="1:8" ht="15.75" customHeight="1" x14ac:dyDescent="0.4">
      <c r="B26" s="138" t="s">
        <v>173</v>
      </c>
      <c r="C26" s="171">
        <f>Fin_Analysis!I83</f>
        <v>5.275513804114592E-2</v>
      </c>
      <c r="F26" s="141" t="s">
        <v>193</v>
      </c>
      <c r="G26" s="178">
        <f>Fin_Analysis!H88*Exchange_Rate/G3</f>
        <v>5.7047902945804169E-2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10.901015627885155</v>
      </c>
      <c r="D29" s="129">
        <f>G29*(1+G20)</f>
        <v>21.683179916457728</v>
      </c>
      <c r="E29" s="87"/>
      <c r="F29" s="131">
        <f>IF(Fin_Analysis!C108="Profit",Fin_Analysis!F100,IF(Fin_Analysis!C108="Dividend",Fin_Analysis!F103,Fin_Analysis!F106))</f>
        <v>12.824724268100184</v>
      </c>
      <c r="G29" s="274">
        <f>IF(Fin_Analysis!C108="Profit",Fin_Analysis!I100,IF(Fin_Analysis!C108="Dividend",Fin_Analysis!I103,Fin_Analysis!I106))</f>
        <v>18.854939057789331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45016</v>
      </c>
      <c r="E3" s="146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2963493</v>
      </c>
      <c r="D8" s="199">
        <f>IF(Inputs!D26="","",Inputs!D26)</f>
        <v>2930208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850720</v>
      </c>
      <c r="D9" s="151">
        <f t="shared" si="2"/>
        <v>715911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541794</v>
      </c>
      <c r="D10" s="199">
        <f>IF(Inputs!D27="","",Inputs!D27)</f>
        <v>556427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0.96796036262515817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-70259</v>
      </c>
      <c r="D16" s="199">
        <f>IF(Inputs!D31="","",Inputs!D31)</f>
        <v>-27525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31560</v>
      </c>
      <c r="D17" s="199">
        <f>IF(Inputs!D29="","",Inputs!D29)</f>
        <v>21677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274900</v>
      </c>
      <c r="D19" s="199">
        <f>IF(Inputs!D32="","",Inputs!D32)</f>
        <v>274200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184900</v>
      </c>
      <c r="D21" s="199">
        <f>IF(Inputs!D33="","",Inputs!D33)</f>
        <v>226600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0.17225256432181468</v>
      </c>
      <c r="D55" s="153">
        <f t="shared" si="45"/>
        <v>0.25325471900179536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45016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95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232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125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160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0.10728205170471102</v>
      </c>
      <c r="D87" s="209"/>
      <c r="E87" s="262">
        <f>E86*Exchange_Rate/Dashboard!G3</f>
        <v>0.10728205170471102</v>
      </c>
      <c r="F87" s="209"/>
      <c r="H87" s="262">
        <f>H86*Exchange_Rate/Dashboard!G3</f>
        <v>0.11782175237686424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221</v>
      </c>
      <c r="C89" s="261">
        <f>C88*Exchange_Rate/Dashboard!G3</f>
        <v>5.7047902945804169E-2</v>
      </c>
      <c r="D89" s="209"/>
      <c r="E89" s="261">
        <f>E88*Exchange_Rate/Dashboard!G3</f>
        <v>5.7047902945804169E-2</v>
      </c>
      <c r="F89" s="209"/>
      <c r="H89" s="261">
        <f>H88*Exchange_Rate/Dashboard!G3</f>
        <v>5.7047902945804169E-2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34.454289191173963</v>
      </c>
      <c r="H93" s="87" t="s">
        <v>209</v>
      </c>
      <c r="I93" s="144">
        <f>FV(H87,D93,0,-(H86/(C93-D94)))*Exchange_Rate</f>
        <v>39.674657190461296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14.52572947788031</v>
      </c>
      <c r="H94" s="87" t="s">
        <v>210</v>
      </c>
      <c r="I94" s="144">
        <f>FV(H89,D93,0,-(H88/(C93-D94)))*Exchange_Rate</f>
        <v>14.52572947788031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18431573.145727839</v>
      </c>
      <c r="D97" s="213"/>
      <c r="E97" s="123">
        <f>PV(C94,D93,0,-F93)</f>
        <v>17.129871017091027</v>
      </c>
      <c r="F97" s="213"/>
      <c r="H97" s="123">
        <f>PV(C94,D93,0,-I93)</f>
        <v>19.72531653603237</v>
      </c>
      <c r="I97" s="123">
        <f>PV(C93,D93,0,-I93)</f>
        <v>27.603612794953513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18431573.145727839</v>
      </c>
      <c r="D100" s="109">
        <f>MIN(F100*(1-C94),E100)</f>
        <v>15.663454710077445</v>
      </c>
      <c r="E100" s="109">
        <f>MAX(E97-H98+E99,0)</f>
        <v>17.129871017091027</v>
      </c>
      <c r="F100" s="109">
        <f>(E100+H100)/2</f>
        <v>18.4275937765617</v>
      </c>
      <c r="H100" s="109">
        <f>MAX(C100*Data!$C$4/Common_Shares,0)</f>
        <v>19.72531653603237</v>
      </c>
      <c r="I100" s="109">
        <f>MAX(I97-H98+H99,0)</f>
        <v>27.603612794953513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6748187.995206547</v>
      </c>
      <c r="D103" s="109">
        <f>MIN(F103*(1-C94),E103)</f>
        <v>6.1385765456928656</v>
      </c>
      <c r="E103" s="123">
        <f>PV(C94,D93,0,-F94)</f>
        <v>7.2218547596386653</v>
      </c>
      <c r="F103" s="109">
        <f>(E103+H103)/2</f>
        <v>7.2218547596386653</v>
      </c>
      <c r="H103" s="123">
        <f>PV(C94,D93,0,-I94)</f>
        <v>7.2218547596386653</v>
      </c>
      <c r="I103" s="109">
        <f>PV(C93,D93,0,-I94)</f>
        <v>10.106265320625152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11377272.807222111</v>
      </c>
      <c r="D106" s="109">
        <f>(D100+D103)/2</f>
        <v>10.901015627885155</v>
      </c>
      <c r="E106" s="123">
        <f>(E100+E103)/2</f>
        <v>12.175862888364847</v>
      </c>
      <c r="F106" s="109">
        <f>(F100+F103)/2</f>
        <v>12.824724268100184</v>
      </c>
      <c r="H106" s="123">
        <f>(H100+H103)/2</f>
        <v>13.473585647835517</v>
      </c>
      <c r="I106" s="123">
        <f>(I100+I103)/2</f>
        <v>18.854939057789331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