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B061D7AC-C1D2-41B0-AF07-8B2DDBC044B7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4" i="4"/>
  <c r="F93" i="4"/>
  <c r="E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D27" i="4"/>
  <c r="C27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5" i="4" l="1"/>
  <c r="F96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H75" i="3" l="1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<sst xmlns="http://schemas.openxmlformats.org/spreadsheetml/2006/main" count="390" uniqueCount="269">
  <si>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</si>
  <si>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</si>
  <si>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</si>
  <si>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</si>
  <si>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</si>
  <si>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</si>
  <si>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</si>
  <si>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</si>
  <si>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</si>
  <si>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</si>
  <si>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</si>
  <si>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</si>
  <si>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</si>
  <si>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</si>
  <si>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</si>
  <si>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</si>
  <si>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</si>
  <si>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</si>
  <si>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</si>
  <si>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</si>
  <si>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</si>
  <si>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</si>
  <si>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</si>
  <si>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</si>
  <si>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</si>
  <si>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</si>
  <si>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</si>
  <si>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</si>
  <si>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</si>
  <si>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</si>
  <si>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</si>
  <si>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</si>
  <si>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</si>
  <si>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</si>
  <si>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</si>
  <si>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</si>
  <si>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</si>
  <si>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</si>
  <si>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</si>
  <si>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</si>
  <si>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</si>
  <si>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</si>
  <si>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</si>
  <si>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</si>
  <si>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</si>
  <si>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</si>
  <si>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</si>
  <si>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</si>
  <si>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</si>
  <si>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</si>
  <si>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</si>
  <si>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</si>
  <si>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</si>
  <si>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</si>
  <si>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</si>
  <si>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</si>
  <si>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</si>
  <si>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</si>
  <si>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</si>
  <si>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</si>
  <si>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</si>
  <si>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</si>
  <si>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</si>
  <si>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</si>
  <si>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</si>
  <si>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</si>
  <si>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</si>
  <si>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</si>
  <si>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</si>
  <si>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</si>
  <si>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</si>
  <si>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</si>
  <si>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</si>
  <si>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</si>
  <si>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</si>
  <si>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</si>
  <si>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</si>
  <si>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</si>
  <si>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</si>
  <si>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</si>
  <si>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</si>
  <si>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</si>
  <si>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</si>
  <si>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</si>
  <si>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</si>
  <si>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</si>
  <si>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</si>
  <si>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</si>
  <si>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</si>
  <si>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</si>
  <si>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</si>
  <si>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</si>
  <si>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</si>
  <si>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</si>
  <si>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</si>
  <si>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</si>
  <si>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</si>
  <si>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</si>
  <si>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</si>
  <si>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</si>
  <si>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</si>
  <si>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</si>
  <si>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</si>
  <si>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</si>
  <si>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</si>
  <si>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</si>
  <si>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</si>
  <si>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</si>
  <si>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</si>
  <si>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</si>
  <si>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</si>
  <si>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</si>
  <si>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</si>
  <si>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</si>
  <si>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</si>
  <si>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</si>
  <si>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</si>
  <si>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</si>
  <si>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</si>
  <si>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</si>
  <si>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</si>
  <si>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</si>
  <si>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</si>
  <si>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</si>
  <si>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</si>
  <si>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</si>
  <si>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</si>
  <si>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</si>
  <si>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</si>
  <si>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</si>
  <si>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</si>
  <si>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</si>
  <si>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</si>
  <si>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</si>
  <si>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</si>
  <si>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</si>
  <si>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</si>
  <si>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</si>
  <si>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</si>
  <si>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</si>
  <si>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</si>
  <si>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</si>
  <si>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</si>
  <si>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</si>
  <si>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</si>
  <si>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</si>
  <si>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</si>
  <si>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</si>
  <si>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</si>
  <si>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</si>
  <si>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</si>
  <si>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</si>
  <si>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</si>
  <si>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</si>
  <si>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</si>
  <si>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</si>
  <si>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</si>
  <si>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</si>
  <si>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</si>
  <si>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</si>
  <si>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</si>
  <si>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</si>
  <si>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</si>
  <si>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</si>
  <si>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</si>
  <si>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</si>
  <si>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</si>
  <si>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</si>
  <si>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</si>
  <si>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</si>
  <si>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</si>
  <si>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</si>
  <si>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</si>
  <si>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</si>
  <si>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</si>
  <si>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</si>
  <si>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</si>
  <si>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</si>
  <si>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</si>
  <si>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</si>
  <si>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</si>
  <si>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</si>
  <si>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</si>
  <si>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</si>
  <si>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</si>
  <si>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</si>
  <si>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</si>
  <si>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</si>
  <si>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</si>
  <si>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</si>
  <si>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</si>
  <si>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</si>
  <si>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</si>
  <si>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</si>
  <si>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</si>
  <si>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</si>
  <si>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</si>
  <si>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</si>
  <si>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</si>
  <si>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</si>
  <si>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</si>
  <si>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</si>
  <si>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</si>
  <si>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</si>
  <si>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</si>
  <si>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</si>
  <si>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</si>
  <si>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</si>
  <si>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</si>
  <si>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</si>
  <si>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</si>
  <si>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</si>
  <si>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</si>
  <si>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</si>
  <si>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</si>
  <si>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</si>
  <si>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</si>
  <si>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</si>
  <si>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</si>
  <si>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</si>
  <si>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</si>
  <si>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</si>
  <si>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</si>
  <si>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</si>
  <si>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</si>
  <si>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</si>
  <si>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</si>
  <si>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</si>
  <si>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</si>
  <si>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</si>
  <si>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</si>
  <si>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</si>
  <si>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</si>
  <si>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</si>
  <si>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</si>
  <si>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</si>
  <si>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</si>
  <si>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</si>
  <si>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</si>
  <si>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</si>
  <si>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</si>
  <si>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</si>
  <si>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</si>
  <si>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</si>
  <si>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</si>
  <si>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</si>
  <si>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</si>
  <si>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</si>
  <si>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</si>
  <si>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</si>
  <si>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</si>
  <si>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</si>
  <si>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</si>
  <si>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</si>
  <si>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</si>
  <si>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</si>
  <si>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</si>
  <si>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</si>
  <si>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</si>
  <si>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</si>
  <si>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</si>
  <si>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</si>
  <si>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</si>
  <si>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</si>
  <si>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0322.HK</t>
  </si>
  <si>
    <t>康师傅控股</t>
  </si>
  <si>
    <t>C0002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</si>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</sst>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0.69575137181535374</c:v>
                </c:pt>
                <c:pt idx="1">
                  <c:v>0.25490688505040687</c:v>
                </c:pt>
                <c:pt idx="2">
                  <c:v>6.6188436699916855E-3</c:v>
                </c:pt>
                <c:pt idx="3">
                  <c:v>0</c:v>
                </c:pt>
                <c:pt idx="4">
                  <c:v>6.4552900576145354E-3</c:v>
                </c:pt>
                <c:pt idx="5">
                  <c:v>0</c:v>
                </c:pt>
                <c:pt idx="6">
                  <c:v>3.6267609406633192E-2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264</v>
      </c>
    </row>
    <row r="5" spans="1:5" ht="13.9" x14ac:dyDescent="0.4">
      <c r="B5" s="141" t="s">
        <v>195</v>
      </c>
      <c r="C5" s="191" t="s">
        <v>265</v>
      </c>
    </row>
    <row r="6" spans="1:5" ht="13.9" x14ac:dyDescent="0.4">
      <c r="B6" s="141" t="s">
        <v>163</v>
      </c>
      <c r="C6" s="189">
        <v>45624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266</v>
      </c>
    </row>
    <row r="10" spans="1:5" ht="13.9" x14ac:dyDescent="0.4">
      <c r="B10" s="140" t="s">
        <v>217</v>
      </c>
      <c r="C10" s="193">
        <v>5634436360</v>
      </c>
    </row>
    <row r="11" spans="1:5" ht="13.9" x14ac:dyDescent="0.4">
      <c r="B11" s="140" t="s">
        <v>218</v>
      </c>
      <c r="C11" s="192" t="s">
        <v>267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261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80418075</v>
      </c>
      <c r="D25" s="149">
        <v>78717420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55950986</v>
      </c>
      <c r="D26" s="150">
        <v>55818003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f>17883440+2615681</f>
        <v>20499121</v>
      </c>
      <c r="D27" s="150">
        <f>16809780+2396714</f>
        <v>19206494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519122</v>
      </c>
      <c r="D29" s="150">
        <v>446021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399206</v>
      </c>
      <c r="D30" s="150">
        <v>443522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0.2766+0.2766</f>
        <v>0.55320000000000003</v>
      </c>
      <c r="D44" s="250">
        <f>0.2336+0.2336</f>
        <v>0.4672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5.7084553172822634E-2</v>
      </c>
      <c r="D45" s="152">
        <f>IF(D44="","",D44*Exchange_Rate/Dashboard!$G$3)</f>
        <v>4.8210237242123519E-2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263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262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80418075</v>
      </c>
      <c r="D91" s="209"/>
      <c r="E91" s="251">
        <f>C91</f>
        <v>80418075</v>
      </c>
      <c r="F91" s="251">
        <f>C91</f>
        <v>80418075</v>
      </c>
    </row>
    <row r="92" spans="2:8" ht="13.9" x14ac:dyDescent="0.4">
      <c r="B92" s="104" t="s">
        <v>105</v>
      </c>
      <c r="C92" s="77">
        <f>C26</f>
        <v>55950986</v>
      </c>
      <c r="D92" s="159">
        <f>C92/C91</f>
        <v>0.69575137181535374</v>
      </c>
      <c r="E92" s="252">
        <f>E91*D92</f>
        <v>55950986</v>
      </c>
      <c r="F92" s="252">
        <f>F91*D92</f>
        <v>55950986</v>
      </c>
    </row>
    <row r="93" spans="2:8" ht="13.9" x14ac:dyDescent="0.4">
      <c r="B93" s="104" t="s">
        <v>247</v>
      </c>
      <c r="C93" s="77">
        <f>C27+C28</f>
        <v>20499121</v>
      </c>
      <c r="D93" s="159">
        <f>C93/C91</f>
        <v>0.25490688505040687</v>
      </c>
      <c r="E93" s="252">
        <f>E91*D93</f>
        <v>20499121</v>
      </c>
      <c r="F93" s="252">
        <f>F91*D93</f>
        <v>20499121</v>
      </c>
    </row>
    <row r="94" spans="2:8" ht="13.9" x14ac:dyDescent="0.4">
      <c r="B94" s="104" t="s">
        <v>257</v>
      </c>
      <c r="C94" s="77">
        <f>C29</f>
        <v>519122</v>
      </c>
      <c r="D94" s="159">
        <f>C94/C91</f>
        <v>6.4552900576145354E-3</v>
      </c>
      <c r="E94" s="253"/>
      <c r="F94" s="252">
        <f>F91*D94</f>
        <v>519122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532274.66666666663</v>
      </c>
      <c r="D97" s="159">
        <f>C97/C91</f>
        <v>6.6188436699916855E-3</v>
      </c>
      <c r="E97" s="253"/>
      <c r="F97" s="252">
        <f>F91*D97</f>
        <v>532274.66666666663</v>
      </c>
    </row>
    <row r="98" spans="2:7" ht="13.9" x14ac:dyDescent="0.4">
      <c r="B98" s="86" t="s">
        <v>207</v>
      </c>
      <c r="C98" s="237">
        <f>C44</f>
        <v>0.55320000000000003</v>
      </c>
      <c r="D98" s="266"/>
      <c r="E98" s="254">
        <f>F98</f>
        <v>0.27660000000000001</v>
      </c>
      <c r="F98" s="254">
        <v>0.27660000000000001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0322.HK : 康师傅控股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0322.HK</v>
      </c>
      <c r="D3" s="278"/>
      <c r="E3" s="87"/>
      <c r="F3" s="3" t="s">
        <v>1</v>
      </c>
      <c r="G3" s="132">
        <v>10.38</v>
      </c>
      <c r="H3" s="134" t="s">
        <v>268</v>
      </c>
    </row>
    <row r="4" spans="1:10" ht="15.75" customHeight="1" x14ac:dyDescent="0.4">
      <c r="B4" s="35" t="s">
        <v>195</v>
      </c>
      <c r="C4" s="279" t="str">
        <f>Inputs!C5</f>
        <v>康师傅控股</v>
      </c>
      <c r="D4" s="280"/>
      <c r="E4" s="87"/>
      <c r="F4" s="3" t="s">
        <v>2</v>
      </c>
      <c r="G4" s="283">
        <f>Inputs!C10</f>
        <v>5634436360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45624</v>
      </c>
      <c r="D5" s="282"/>
      <c r="E5" s="34"/>
      <c r="F5" s="35" t="s">
        <v>99</v>
      </c>
      <c r="G5" s="275">
        <f>G3*G4/1000000</f>
        <v>58485.449416800002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C0002</v>
      </c>
      <c r="E7" s="87"/>
      <c r="F7" s="35" t="s">
        <v>5</v>
      </c>
      <c r="G7" s="133">
        <v>1.0711092948913574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0.69575137181535374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0.25490688505040687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6.6188436699916855E-3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6.4552900576145354E-3</v>
      </c>
      <c r="F24" s="140" t="s">
        <v>260</v>
      </c>
      <c r="G24" s="268">
        <f>G3/(Fin_Analysis!H86*G7)</f>
        <v>24.96204588620343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0.71247361784670915</v>
      </c>
    </row>
    <row r="26" spans="1:8" ht="15.75" customHeight="1" x14ac:dyDescent="0.4">
      <c r="B26" s="138" t="s">
        <v>173</v>
      </c>
      <c r="C26" s="171">
        <f>Fin_Analysis!I83</f>
        <v>3.6267609406633192E-2</v>
      </c>
      <c r="F26" s="141" t="s">
        <v>193</v>
      </c>
      <c r="G26" s="178">
        <f>Fin_Analysis!H88*Exchange_Rate/G3</f>
        <v>2.8542276586411317E-2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3.5349657109205874</v>
      </c>
      <c r="D29" s="129">
        <f>G29*(1+G20)</f>
        <v>6.5317486746189477</v>
      </c>
      <c r="E29" s="87"/>
      <c r="F29" s="131">
        <f>IF(Fin_Analysis!C108="Profit",Fin_Analysis!F100,IF(Fin_Analysis!C108="Dividend",Fin_Analysis!F103,Fin_Analysis!F106))</f>
        <v>4.1587831893183385</v>
      </c>
      <c r="G29" s="274">
        <f>IF(Fin_Analysis!C108="Profit",Fin_Analysis!I100,IF(Fin_Analysis!C108="Dividend",Fin_Analysis!I103,Fin_Analysis!I106))</f>
        <v>5.6797814561903897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3435693.3333333335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80418075</v>
      </c>
      <c r="D6" s="200">
        <f>IF(Inputs!D25="","",Inputs!D25)</f>
        <v>78717420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2.1604557161553295E-2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55950986</v>
      </c>
      <c r="D8" s="199">
        <f>IF(Inputs!D26="","",Inputs!D26)</f>
        <v>55818003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24467089</v>
      </c>
      <c r="D9" s="151">
        <f t="shared" si="2"/>
        <v>22899417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20499121</v>
      </c>
      <c r="D10" s="199">
        <f>IF(Inputs!D27="","",Inputs!D27)</f>
        <v>19206494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532274.66666666663</v>
      </c>
      <c r="D12" s="199">
        <f>IF(Inputs!D30="","",MAX(Inputs!D30,0)/(1-Fin_Analysis!$I$84))</f>
        <v>591362.66666666663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4.2722899464247725E-2</v>
      </c>
      <c r="D13" s="229">
        <f t="shared" si="3"/>
        <v>3.9401193958507955E-2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3435693.3333333335</v>
      </c>
      <c r="D14" s="230">
        <f t="shared" ref="D14:M14" si="4">IF(D6="","",D9-D10-MAX(D11,0)-MAX(D12,0))</f>
        <v>3101560.3333333335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0.1077306143004795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519122</v>
      </c>
      <c r="D17" s="199">
        <f>IF(Inputs!D29="","",Inputs!D29)</f>
        <v>446021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2916571.3333333335</v>
      </c>
      <c r="D22" s="161">
        <f t="shared" ref="D22:M22" si="8">IF(D6="","",D14-MAX(D16,0)-MAX(D17,0)-ABS(MAX(D21,0)-MAX(D19,0)))</f>
        <v>2655539.3333333335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2.7200707054974894E-2</v>
      </c>
      <c r="D23" s="153">
        <f t="shared" si="9"/>
        <v>2.5301318310483246E-2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2187428.5</v>
      </c>
      <c r="D24" s="77">
        <f>IF(D6="","",D22*(1-Fin_Analysis!$I$84))</f>
        <v>1991654.5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9.8297169514089913E-2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0.69575137181535374</v>
      </c>
      <c r="D42" s="156">
        <f t="shared" si="34"/>
        <v>0.70909340016479194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0.25490688505040687</v>
      </c>
      <c r="D43" s="153">
        <f t="shared" si="35"/>
        <v>0.24399293066261571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6.4552900576145354E-3</v>
      </c>
      <c r="D45" s="153">
        <f t="shared" si="37"/>
        <v>5.6661028778636291E-3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6.6188436699916855E-3</v>
      </c>
      <c r="D46" s="153">
        <f t="shared" ref="D46:M46" si="38">IF(D6="","",MAX(D12,0)/D6)</f>
        <v>7.5124752140843364E-3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3.6267609406633192E-2</v>
      </c>
      <c r="D48" s="153">
        <f t="shared" si="40"/>
        <v>3.3735091080644326E-2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0.17799050346102741</v>
      </c>
      <c r="D55" s="153">
        <f t="shared" si="45"/>
        <v>0.16795872476877891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80418075</v>
      </c>
      <c r="D74" s="209"/>
      <c r="E74" s="238">
        <f>Inputs!E91</f>
        <v>80418075</v>
      </c>
      <c r="F74" s="209"/>
      <c r="H74" s="238">
        <f>Inputs!F91</f>
        <v>80418075</v>
      </c>
      <c r="I74" s="209"/>
      <c r="K74" s="24"/>
    </row>
    <row r="75" spans="1:11" ht="15" customHeight="1" x14ac:dyDescent="0.4">
      <c r="B75" s="104" t="s">
        <v>105</v>
      </c>
      <c r="C75" s="77">
        <f>Data!C8</f>
        <v>55950986</v>
      </c>
      <c r="D75" s="159">
        <f>C75/$C$74</f>
        <v>0.69575137181535374</v>
      </c>
      <c r="E75" s="238">
        <f>Inputs!E92</f>
        <v>55950986</v>
      </c>
      <c r="F75" s="160">
        <f>E75/E74</f>
        <v>0.69575137181535374</v>
      </c>
      <c r="H75" s="238">
        <f>Inputs!F92</f>
        <v>55950986</v>
      </c>
      <c r="I75" s="160">
        <f>H75/$H$74</f>
        <v>0.69575137181535374</v>
      </c>
      <c r="K75" s="24"/>
    </row>
    <row r="76" spans="1:11" ht="15" customHeight="1" x14ac:dyDescent="0.4">
      <c r="B76" s="35" t="s">
        <v>95</v>
      </c>
      <c r="C76" s="161">
        <f>C74-C75</f>
        <v>24467089</v>
      </c>
      <c r="D76" s="210"/>
      <c r="E76" s="162">
        <f>E74-E75</f>
        <v>24467089</v>
      </c>
      <c r="F76" s="210"/>
      <c r="H76" s="162">
        <f>H74-H75</f>
        <v>24467089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20499121</v>
      </c>
      <c r="D77" s="159">
        <f>C77/$C$74</f>
        <v>0.25490688505040687</v>
      </c>
      <c r="E77" s="238">
        <f>Inputs!E93</f>
        <v>20499121</v>
      </c>
      <c r="F77" s="160">
        <f>E77/E74</f>
        <v>0.25490688505040687</v>
      </c>
      <c r="H77" s="238">
        <f>Inputs!F93</f>
        <v>20499121</v>
      </c>
      <c r="I77" s="160">
        <f>H77/$H$74</f>
        <v>0.25490688505040687</v>
      </c>
      <c r="K77" s="24"/>
    </row>
    <row r="78" spans="1:11" ht="15" customHeight="1" x14ac:dyDescent="0.4">
      <c r="B78" s="73" t="s">
        <v>172</v>
      </c>
      <c r="C78" s="77">
        <f>MAX(Data!C12,0)</f>
        <v>532274.66666666663</v>
      </c>
      <c r="D78" s="159">
        <f>C78/$C$74</f>
        <v>6.6188436699916855E-3</v>
      </c>
      <c r="E78" s="180">
        <f>E74*F78</f>
        <v>532274.66666666663</v>
      </c>
      <c r="F78" s="160">
        <f>I78</f>
        <v>6.6188436699916855E-3</v>
      </c>
      <c r="H78" s="238">
        <f>Inputs!F97</f>
        <v>532274.66666666663</v>
      </c>
      <c r="I78" s="160">
        <f>H78/$H$74</f>
        <v>6.6188436699916855E-3</v>
      </c>
      <c r="K78" s="24"/>
    </row>
    <row r="79" spans="1:11" ht="15" customHeight="1" x14ac:dyDescent="0.4">
      <c r="B79" s="256" t="s">
        <v>232</v>
      </c>
      <c r="C79" s="257">
        <f>C76-C77-C78</f>
        <v>3435693.3333333335</v>
      </c>
      <c r="D79" s="258">
        <f>C79/C74</f>
        <v>4.2722899464247725E-2</v>
      </c>
      <c r="E79" s="259">
        <f>E76-E77-E78</f>
        <v>3435693.3333333335</v>
      </c>
      <c r="F79" s="258">
        <f>E79/E74</f>
        <v>4.2722899464247725E-2</v>
      </c>
      <c r="G79" s="260"/>
      <c r="H79" s="259">
        <f>H76-H77-H78</f>
        <v>3435693.3333333335</v>
      </c>
      <c r="I79" s="258">
        <f>H79/H74</f>
        <v>4.2722899464247725E-2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519122</v>
      </c>
      <c r="D81" s="159">
        <f>C81/$C$74</f>
        <v>6.4552900576145354E-3</v>
      </c>
      <c r="E81" s="180">
        <f>E74*F81</f>
        <v>519122</v>
      </c>
      <c r="F81" s="160">
        <f>I81</f>
        <v>6.4552900576145354E-3</v>
      </c>
      <c r="H81" s="238">
        <f>Inputs!F94</f>
        <v>519122</v>
      </c>
      <c r="I81" s="160">
        <f>H81/$H$74</f>
        <v>6.4552900576145354E-3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2916571.3333333335</v>
      </c>
      <c r="D83" s="164">
        <f>C83/$C$74</f>
        <v>3.6267609406633192E-2</v>
      </c>
      <c r="E83" s="165">
        <f>E79-E81-E82-E80</f>
        <v>2916571.3333333335</v>
      </c>
      <c r="F83" s="164">
        <f>E83/E74</f>
        <v>3.6267609406633192E-2</v>
      </c>
      <c r="H83" s="165">
        <f>H79-H81-H82-H80</f>
        <v>2916571.3333333335</v>
      </c>
      <c r="I83" s="164">
        <f>H83/$H$74</f>
        <v>3.6267609406633192E-2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2187428.5</v>
      </c>
      <c r="D85" s="258">
        <f>C85/$C$74</f>
        <v>2.7200707054974894E-2</v>
      </c>
      <c r="E85" s="264">
        <f>E83*(1-F84)</f>
        <v>2187428.5</v>
      </c>
      <c r="F85" s="258">
        <f>E85/E74</f>
        <v>2.7200707054974894E-2</v>
      </c>
      <c r="G85" s="260"/>
      <c r="H85" s="264">
        <f>H83*(1-I84)</f>
        <v>2187428.5</v>
      </c>
      <c r="I85" s="258">
        <f>H85/$H$74</f>
        <v>2.7200707054974894E-2</v>
      </c>
      <c r="K85" s="24"/>
    </row>
    <row r="86" spans="1:11" ht="15" customHeight="1" x14ac:dyDescent="0.4">
      <c r="B86" s="87" t="s">
        <v>160</v>
      </c>
      <c r="C86" s="167">
        <f>C85*Data!C4/Common_Shares</f>
        <v>0.38822490134576654</v>
      </c>
      <c r="D86" s="209"/>
      <c r="E86" s="168">
        <f>E85*Data!C4/Common_Shares</f>
        <v>0.38822490134576654</v>
      </c>
      <c r="F86" s="209"/>
      <c r="H86" s="168">
        <f>H85*Data!C4/Common_Shares</f>
        <v>0.38822490134576654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4.0060818915195646E-2</v>
      </c>
      <c r="D87" s="209"/>
      <c r="E87" s="262">
        <f>E86*Exchange_Rate/Dashboard!G3</f>
        <v>4.0060818915195646E-2</v>
      </c>
      <c r="F87" s="209"/>
      <c r="H87" s="262">
        <f>H86*Exchange_Rate/Dashboard!G3</f>
        <v>4.0060818915195646E-2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0.55320000000000003</v>
      </c>
      <c r="D88" s="166">
        <f>C88/C86</f>
        <v>1.4249472356934183</v>
      </c>
      <c r="E88" s="170">
        <f>Inputs!E98</f>
        <v>0.27660000000000001</v>
      </c>
      <c r="F88" s="166">
        <f>E88/E86</f>
        <v>0.71247361784670915</v>
      </c>
      <c r="H88" s="170">
        <f>Inputs!F98</f>
        <v>0.27660000000000001</v>
      </c>
      <c r="I88" s="166">
        <f>H88/H86</f>
        <v>0.71247361784670915</v>
      </c>
      <c r="K88" s="24"/>
    </row>
    <row r="89" spans="1:11" ht="15" customHeight="1" x14ac:dyDescent="0.4">
      <c r="B89" s="87" t="s">
        <v>221</v>
      </c>
      <c r="C89" s="261">
        <f>C88*Exchange_Rate/Dashboard!G3</f>
        <v>5.7084553172822634E-2</v>
      </c>
      <c r="D89" s="209"/>
      <c r="E89" s="261">
        <f>E88*Exchange_Rate/Dashboard!G3</f>
        <v>2.8542276586411317E-2</v>
      </c>
      <c r="F89" s="209"/>
      <c r="H89" s="261">
        <f>H88*Exchange_Rate/Dashboard!G3</f>
        <v>2.8542276586411317E-2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8.3647984590896112</v>
      </c>
      <c r="H93" s="87" t="s">
        <v>209</v>
      </c>
      <c r="I93" s="144">
        <f>FV(H87,D93,0,-(H86/(C93-D94)))*Exchange_Rate</f>
        <v>8.3647984590896112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5.6369129232578796</v>
      </c>
      <c r="H94" s="87" t="s">
        <v>210</v>
      </c>
      <c r="I94" s="144">
        <f>FV(H89,D93,0,-(H88/(C93-D94)))*Exchange_Rate</f>
        <v>5.6369129232578796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23432399.215252012</v>
      </c>
      <c r="D97" s="213"/>
      <c r="E97" s="123">
        <f>PV(C94,D93,0,-F93)</f>
        <v>4.1587831893183385</v>
      </c>
      <c r="F97" s="213"/>
      <c r="H97" s="123">
        <f>PV(C94,D93,0,-I93)</f>
        <v>4.1587831893183385</v>
      </c>
      <c r="I97" s="123">
        <f>PV(C93,D93,0,-I93)</f>
        <v>5.6797814561903897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23432399.215252012</v>
      </c>
      <c r="D100" s="109">
        <f>MIN(F100*(1-C94),E100)</f>
        <v>3.5349657109205874</v>
      </c>
      <c r="E100" s="109">
        <f>MAX(E97-H98+E99,0)</f>
        <v>4.1587831893183385</v>
      </c>
      <c r="F100" s="109">
        <f>(E100+H100)/2</f>
        <v>4.1587831893183385</v>
      </c>
      <c r="H100" s="109">
        <f>MAX(C100*Data!$C$4/Common_Shares,0)</f>
        <v>4.1587831893183385</v>
      </c>
      <c r="I100" s="109">
        <f>MAX(I97-H98+H99,0)</f>
        <v>5.6797814561903897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15790744.344337445</v>
      </c>
      <c r="D103" s="109">
        <f>MIN(F103*(1-C94),E103)</f>
        <v>2.3821606696941782</v>
      </c>
      <c r="E103" s="123">
        <f>PV(C94,D93,0,-F94)</f>
        <v>2.802541964346092</v>
      </c>
      <c r="F103" s="109">
        <f>(E103+H103)/2</f>
        <v>2.802541964346092</v>
      </c>
      <c r="H103" s="123">
        <f>PV(C94,D93,0,-I94)</f>
        <v>2.802541964346092</v>
      </c>
      <c r="I103" s="109">
        <f>PV(C93,D93,0,-I94)</f>
        <v>3.8275200111832217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19611571.779794727</v>
      </c>
      <c r="D106" s="109">
        <f>(D100+D103)/2</f>
        <v>2.958563190307383</v>
      </c>
      <c r="E106" s="123">
        <f>(E100+E103)/2</f>
        <v>3.4806625768322155</v>
      </c>
      <c r="F106" s="109">
        <f>(F100+F103)/2</f>
        <v>3.4806625768322155</v>
      </c>
      <c r="H106" s="123">
        <f>(H100+H103)/2</f>
        <v>3.4806625768322155</v>
      </c>
      <c r="I106" s="123">
        <f>(I100+I103)/2</f>
        <v>4.7536507336868059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2024-12-11T04:13:55Z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