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DE4159B-DEE9-45EB-9FE2-52AF55FD568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2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<sst xmlns="http://schemas.openxmlformats.org/spreadsheetml/2006/main" count="390" uniqueCount="269">
  <si>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</si>
  <si>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</si>
  <si>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</si>
  <si>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</si>
  <si>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</si>
  <si>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</si>
  <si>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</si>
  <si>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</si>
  <si>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</si>
  <si>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</si>
  <si>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</si>
  <si>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</si>
  <si>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</si>
  <si>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</si>
  <si>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</si>
  <si>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</si>
  <si>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</si>
  <si>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</si>
  <si>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</si>
  <si>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</si>
  <si>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</si>
  <si>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</si>
  <si>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</si>
  <si>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</si>
  <si>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</si>
  <si>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</si>
  <si>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</si>
  <si>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</si>
  <si>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</si>
  <si>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</si>
  <si>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</si>
  <si>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</si>
  <si>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</si>
  <si>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</si>
  <si>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</si>
  <si>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</si>
  <si>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</si>
  <si>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</si>
  <si>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</si>
  <si>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</si>
  <si>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</si>
  <si>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</si>
  <si>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</si>
  <si>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</si>
  <si>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</si>
  <si>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</si>
  <si>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</si>
  <si>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</si>
  <si>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</si>
  <si>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</si>
  <si>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</si>
  <si>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</si>
  <si>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</si>
  <si>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</si>
  <si>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</si>
  <si>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</si>
  <si>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</si>
  <si>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</si>
  <si>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</si>
  <si>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</si>
  <si>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</si>
  <si>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</si>
  <si>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</si>
  <si>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</si>
  <si>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</si>
  <si>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</si>
  <si>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</si>
  <si>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</si>
  <si>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</si>
  <si>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</si>
  <si>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</si>
  <si>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</si>
  <si>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</si>
  <si>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</si>
  <si>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</si>
  <si>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</si>
  <si>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</si>
  <si>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</si>
  <si>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</si>
  <si>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</si>
  <si>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</si>
  <si>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</si>
  <si>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</si>
  <si>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</si>
  <si>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</si>
  <si>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</si>
  <si>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</si>
  <si>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</si>
  <si>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</si>
  <si>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</si>
  <si>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</si>
  <si>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</si>
  <si>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</si>
  <si>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</si>
  <si>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</si>
  <si>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</si>
  <si>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</si>
  <si>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</si>
  <si>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</si>
  <si>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</si>
  <si>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</si>
  <si>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</si>
  <si>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</si>
  <si>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</si>
  <si>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</si>
  <si>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</si>
  <si>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</si>
  <si>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</si>
  <si>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</si>
  <si>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</si>
  <si>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</si>
  <si>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</si>
  <si>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</si>
  <si>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</si>
  <si>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</si>
  <si>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</si>
  <si>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</si>
  <si>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</si>
  <si>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</si>
  <si>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</si>
  <si>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</si>
  <si>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</si>
  <si>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</si>
  <si>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</si>
  <si>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</si>
  <si>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</si>
  <si>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</si>
  <si>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</si>
  <si>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</si>
  <si>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</si>
  <si>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</si>
  <si>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</si>
  <si>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</si>
  <si>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</si>
  <si>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</si>
  <si>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</si>
  <si>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</si>
  <si>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</si>
  <si>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</si>
  <si>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</si>
  <si>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</si>
  <si>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</si>
  <si>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</si>
  <si>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</si>
  <si>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</si>
  <si>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</si>
  <si>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</si>
  <si>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</si>
  <si>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</si>
  <si>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</si>
  <si>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</si>
  <si>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</si>
  <si>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</si>
  <si>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</si>
  <si>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</si>
  <si>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</si>
  <si>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</si>
  <si>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</si>
  <si>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</si>
  <si>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</si>
  <si>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</si>
  <si>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</si>
  <si>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</si>
  <si>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</si>
  <si>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</si>
  <si>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</si>
  <si>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</si>
  <si>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</si>
  <si>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</si>
  <si>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</si>
  <si>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</si>
  <si>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</si>
  <si>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</si>
  <si>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</si>
  <si>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</si>
  <si>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</si>
  <si>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</si>
  <si>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</si>
  <si>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</si>
  <si>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</si>
  <si>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</si>
  <si>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</si>
  <si>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</si>
  <si>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</si>
  <si>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</si>
  <si>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</si>
  <si>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</si>
  <si>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</si>
  <si>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</si>
  <si>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</si>
  <si>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</si>
  <si>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</si>
  <si>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</si>
  <si>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</si>
  <si>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</si>
  <si>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</si>
  <si>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</si>
  <si>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</si>
  <si>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</si>
  <si>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</si>
  <si>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</si>
  <si>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</si>
  <si>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</si>
  <si>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</si>
  <si>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</si>
  <si>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</si>
  <si>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</si>
  <si>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</si>
  <si>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</si>
  <si>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</si>
  <si>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</si>
  <si>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</si>
  <si>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</si>
  <si>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</si>
  <si>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</si>
  <si>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</si>
  <si>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</si>
  <si>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</si>
  <si>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</si>
  <si>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</si>
  <si>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</si>
  <si>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</si>
  <si>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</si>
  <si>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</si>
  <si>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</si>
  <si>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</si>
  <si>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</si>
  <si>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</si>
  <si>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</si>
  <si>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</si>
  <si>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</si>
  <si>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</si>
  <si>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</si>
  <si>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</si>
  <si>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</si>
  <si>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</si>
  <si>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</si>
  <si>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</si>
  <si>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</si>
  <si>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</si>
  <si>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</si>
  <si>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</si>
  <si>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</si>
  <si>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</si>
  <si>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</si>
  <si>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</si>
  <si>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</si>
  <si>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</si>
  <si>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</si>
  <si>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</si>
  <si>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</si>
  <si>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</si>
  <si>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</si>
  <si>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</si>
  <si>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</si>
  <si>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</si>
  <si>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</si>
  <si>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</si>
  <si>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</si>
  <si>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</si>
  <si>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</si>
  <si>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</si>
  <si>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</si>
  <si>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</si>
  <si>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0564.HK</t>
  </si>
  <si>
    <t>鄭煤機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</si>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</sst>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0.78453465804081768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0</c:v>
                </c:pt>
                <c:pt idx="4">
                  <c:v>1.0669041048412063E-2</c:v>
                </c:pt>
                <c:pt idx="5">
                  <c:v>0</c:v>
                </c:pt>
                <c:pt idx="6">
                  <c:v>8.9729881954109345E-2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1785399930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>
        <v>29293527</v>
      </c>
      <c r="F25" s="149">
        <v>26519393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28575291</v>
      </c>
      <c r="D26" s="150">
        <v>25644599</v>
      </c>
      <c r="E26" s="150">
        <v>22885480</v>
      </c>
      <c r="F26" s="150">
        <v>20008105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1156268+1199587+1568223</f>
        <v>3924078</v>
      </c>
      <c r="D27" s="150">
        <f>831593+1072973+1385962</f>
        <v>3290528</v>
      </c>
      <c r="E27" s="150">
        <v>877689</v>
      </c>
      <c r="F27" s="150">
        <v>1662947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200260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8.7693158646076047E-2</v>
      </c>
      <c r="D45" s="152">
        <f>IF(D44="","",D44*Exchange_Rate/Dashboard!$G$3)</f>
        <v>5.8462105764050712E-2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105</v>
      </c>
      <c r="C92" s="77">
        <f>C26</f>
        <v>28575291</v>
      </c>
      <c r="D92" s="159">
        <f>C92/C91</f>
        <v>0.78453465804081768</v>
      </c>
      <c r="E92" s="252">
        <f>E91*D92</f>
        <v>28575291</v>
      </c>
      <c r="F92" s="252">
        <f>F91*D92</f>
        <v>28575291</v>
      </c>
    </row>
    <row r="93" spans="2:8" ht="13.9" x14ac:dyDescent="0.4">
      <c r="B93" s="104" t="s">
        <v>247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257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207</v>
      </c>
      <c r="C98" s="237">
        <f>C44</f>
        <v>0.84</v>
      </c>
      <c r="D98" s="266"/>
      <c r="E98" s="254">
        <f>F98</f>
        <v>0.84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0564.HK</v>
      </c>
      <c r="D3" s="278"/>
      <c r="E3" s="87"/>
      <c r="F3" s="3" t="s">
        <v>1</v>
      </c>
      <c r="G3" s="132">
        <v>10.26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鄭煤機</v>
      </c>
      <c r="D4" s="280"/>
      <c r="E4" s="87"/>
      <c r="F4" s="3" t="s">
        <v>2</v>
      </c>
      <c r="G4" s="283">
        <f>Inputs!C10</f>
        <v>1785399930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45634</v>
      </c>
      <c r="D5" s="282"/>
      <c r="E5" s="34"/>
      <c r="F5" s="35" t="s">
        <v>99</v>
      </c>
      <c r="G5" s="275">
        <f>G3*G4/1000000</f>
        <v>18318.203281800001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0.78453465804081768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0.10773556748225227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7.3308514744086254E-3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1.0669041048412063E-2</v>
      </c>
      <c r="F24" s="140" t="s">
        <v>260</v>
      </c>
      <c r="G24" s="268">
        <f>G3/(Fin_Analysis!H86*G7)</f>
        <v>6.9770558354731484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0.61184006426267745</v>
      </c>
    </row>
    <row r="26" spans="1:8" ht="15.75" customHeight="1" x14ac:dyDescent="0.4">
      <c r="B26" s="138" t="s">
        <v>173</v>
      </c>
      <c r="C26" s="171">
        <f>Fin_Analysis!I83</f>
        <v>8.9729881954109345E-2</v>
      </c>
      <c r="F26" s="141" t="s">
        <v>193</v>
      </c>
      <c r="G26" s="178">
        <f>Fin_Analysis!H88*Exchange_Rate/G3</f>
        <v>8.7693158646076047E-2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20.067888456495552</v>
      </c>
      <c r="D29" s="129">
        <f>G29*(1+G20)</f>
        <v>37.080530490910988</v>
      </c>
      <c r="E29" s="87"/>
      <c r="F29" s="131">
        <f>IF(Fin_Analysis!C108="Profit",Fin_Analysis!F100,IF(Fin_Analysis!C108="Dividend",Fin_Analysis!F103,Fin_Analysis!F106))</f>
        <v>23.609280537053593</v>
      </c>
      <c r="G29" s="274">
        <f>IF(Fin_Analysis!C108="Profit",Fin_Analysis!I100,IF(Fin_Analysis!C108="Dividend",Fin_Analysis!I103,Fin_Analysis!I106))</f>
        <v>32.243939557313908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>
        <f>IF(Inputs!E25="","",Inputs!E25)</f>
        <v>29293527</v>
      </c>
      <c r="F6" s="200">
        <f>IF(Inputs!F25="","",Inputs!F25)</f>
        <v>26519393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>
        <f t="shared" si="1"/>
        <v>9.3869850496322904E-2</v>
      </c>
      <c r="E7" s="92">
        <f t="shared" si="1"/>
        <v>0.10460774875201717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28575291</v>
      </c>
      <c r="D8" s="199">
        <f>IF(Inputs!D26="","",Inputs!D26)</f>
        <v>25644599</v>
      </c>
      <c r="E8" s="199">
        <f>IF(Inputs!E26="","",Inputs!E26)</f>
        <v>22885480</v>
      </c>
      <c r="F8" s="199">
        <f>IF(Inputs!F26="","",Inputs!F26)</f>
        <v>20008105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7847945</v>
      </c>
      <c r="D9" s="151">
        <f t="shared" si="2"/>
        <v>6398707</v>
      </c>
      <c r="E9" s="151">
        <f t="shared" si="2"/>
        <v>6408047</v>
      </c>
      <c r="F9" s="151">
        <f t="shared" si="2"/>
        <v>6511288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3924078</v>
      </c>
      <c r="D10" s="199">
        <f>IF(Inputs!D27="","",Inputs!D27)</f>
        <v>3290528</v>
      </c>
      <c r="E10" s="199">
        <f>IF(Inputs!E27="","",Inputs!E27)</f>
        <v>877689</v>
      </c>
      <c r="F10" s="199">
        <f>IF(Inputs!F27="","",Inputs!F27)</f>
        <v>1662947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267013.33333333331</v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0.10039892300252143</v>
      </c>
      <c r="D13" s="229">
        <f t="shared" si="3"/>
        <v>9.6999323353214553E-2</v>
      </c>
      <c r="E13" s="229">
        <f t="shared" si="3"/>
        <v>0.18879112781468751</v>
      </c>
      <c r="F13" s="229">
        <f t="shared" si="3"/>
        <v>0.18282247259580942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3656853.6666666665</v>
      </c>
      <c r="D14" s="230">
        <f t="shared" ref="D14:M14" si="4">IF(D6="","",D9-D10-MAX(D11,0)-MAX(D12,0))</f>
        <v>3108179</v>
      </c>
      <c r="E14" s="230">
        <f t="shared" si="4"/>
        <v>5530358</v>
      </c>
      <c r="F14" s="230">
        <f t="shared" si="4"/>
        <v>4848341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0.17652608381520707</v>
      </c>
      <c r="D15" s="232">
        <f t="shared" ref="D15:M15" si="5">IF(E14="","",IF(ABS(D14+E14)=ABS(D14)+ABS(E14),IF(D14&lt;0,-1,1)*(D14-E14)/E14,"Turn"))</f>
        <v>-0.43797869866652395</v>
      </c>
      <c r="E15" s="232">
        <f t="shared" si="5"/>
        <v>0.14067017975839571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3268252.6666666665</v>
      </c>
      <c r="D22" s="161">
        <f t="shared" ref="D22:M22" si="8">IF(D6="","",D14-MAX(D16,0)-MAX(D17,0)-ABS(MAX(D21,0)-MAX(D19,0)))</f>
        <v>2842769</v>
      </c>
      <c r="E22" s="161">
        <f t="shared" si="8"/>
        <v>5530358</v>
      </c>
      <c r="F22" s="161">
        <f t="shared" si="8"/>
        <v>4848341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6.7297411465582019E-2</v>
      </c>
      <c r="D23" s="153">
        <f t="shared" si="9"/>
        <v>6.6537352606500719E-2</v>
      </c>
      <c r="E23" s="153">
        <f t="shared" si="9"/>
        <v>0.14159334586101566</v>
      </c>
      <c r="F23" s="153">
        <f t="shared" si="9"/>
        <v>0.13711685444685706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2451189.5</v>
      </c>
      <c r="D24" s="77">
        <f>IF(D6="","",D22*(1-Fin_Analysis!$I$84))</f>
        <v>2132076.75</v>
      </c>
      <c r="E24" s="77">
        <f>IF(E6="","",E22*(1-Fin_Analysis!$I$84))</f>
        <v>4147768.5</v>
      </c>
      <c r="F24" s="77">
        <f>IF(F6="","",F22*(1-Fin_Analysis!$I$84))</f>
        <v>3636255.75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0.14967226203278094</v>
      </c>
      <c r="D25" s="233">
        <f t="shared" ref="D25:M25" si="10">IF(E24="","",IF(ABS(D24+E24)=ABS(D24)+ABS(E24),IF(D24&lt;0,-1,1)*(D24-E24)/E24,"Turn"))</f>
        <v>-0.48597016684995797</v>
      </c>
      <c r="E25" s="233">
        <f t="shared" si="10"/>
        <v>0.14067017975839571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>
        <f t="shared" si="34"/>
        <v>0.78124699699015421</v>
      </c>
      <c r="F42" s="156">
        <f t="shared" si="34"/>
        <v>0.75447069998924943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>
        <f t="shared" si="35"/>
        <v>2.9961875195158302E-2</v>
      </c>
      <c r="F43" s="153">
        <f t="shared" si="35"/>
        <v>6.2706827414941213E-2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7.3308514744086254E-3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8.9729881954109358E-2</v>
      </c>
      <c r="D48" s="153">
        <f t="shared" si="40"/>
        <v>8.8716470142000958E-2</v>
      </c>
      <c r="E48" s="153">
        <f t="shared" si="40"/>
        <v>0.18879112781468751</v>
      </c>
      <c r="F48" s="153">
        <f t="shared" si="40"/>
        <v>0.18282247259580942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0.11890176177729221</v>
      </c>
      <c r="D55" s="153">
        <f t="shared" si="45"/>
        <v>9.3363196235782792E-2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28575291</v>
      </c>
      <c r="D75" s="159">
        <f>C75/$C$74</f>
        <v>0.78453465804081768</v>
      </c>
      <c r="E75" s="238">
        <f>Inputs!E92</f>
        <v>28575291</v>
      </c>
      <c r="F75" s="160">
        <f>E75/E74</f>
        <v>0.78453465804081768</v>
      </c>
      <c r="H75" s="238">
        <f>Inputs!F92</f>
        <v>28575291</v>
      </c>
      <c r="I75" s="160">
        <f>H75/$H$74</f>
        <v>0.78453465804081768</v>
      </c>
      <c r="K75" s="24"/>
    </row>
    <row r="76" spans="1:11" ht="15" customHeight="1" x14ac:dyDescent="0.4">
      <c r="B76" s="35" t="s">
        <v>95</v>
      </c>
      <c r="C76" s="161">
        <f>C74-C75</f>
        <v>7847945</v>
      </c>
      <c r="D76" s="210"/>
      <c r="E76" s="162">
        <f>E74-E75</f>
        <v>7847945</v>
      </c>
      <c r="F76" s="210"/>
      <c r="H76" s="162">
        <f>H74-H75</f>
        <v>7847945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172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232</v>
      </c>
      <c r="C79" s="257">
        <f>C76-C77-C78</f>
        <v>3656853.6666666665</v>
      </c>
      <c r="D79" s="258">
        <f>C79/C74</f>
        <v>0.10039892300252143</v>
      </c>
      <c r="E79" s="259">
        <f>E76-E77-E78</f>
        <v>3656853.666666666</v>
      </c>
      <c r="F79" s="258">
        <f>E79/E74</f>
        <v>0.10039892300252141</v>
      </c>
      <c r="G79" s="260"/>
      <c r="H79" s="259">
        <f>H76-H77-H78</f>
        <v>3656853.666666666</v>
      </c>
      <c r="I79" s="258">
        <f>H79/H74</f>
        <v>0.10039892300252141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3268252.6666666665</v>
      </c>
      <c r="D83" s="164">
        <f>C83/$C$74</f>
        <v>8.9729881954109358E-2</v>
      </c>
      <c r="E83" s="165">
        <f>E79-E81-E82-E80</f>
        <v>3268252.666666666</v>
      </c>
      <c r="F83" s="164">
        <f>E83/E74</f>
        <v>8.9729881954109345E-2</v>
      </c>
      <c r="H83" s="165">
        <f>H79-H81-H82-H80</f>
        <v>3268252.666666666</v>
      </c>
      <c r="I83" s="164">
        <f>H83/$H$74</f>
        <v>8.9729881954109345E-2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2451189.5</v>
      </c>
      <c r="D85" s="258">
        <f>C85/$C$74</f>
        <v>6.7297411465582019E-2</v>
      </c>
      <c r="E85" s="264">
        <f>E83*(1-F84)</f>
        <v>2451189.4999999995</v>
      </c>
      <c r="F85" s="258">
        <f>E85/E74</f>
        <v>6.7297411465582019E-2</v>
      </c>
      <c r="G85" s="260"/>
      <c r="H85" s="264">
        <f>H83*(1-I84)</f>
        <v>2451189.4999999995</v>
      </c>
      <c r="I85" s="258">
        <f>H85/$H$74</f>
        <v>6.7297411465582019E-2</v>
      </c>
      <c r="K85" s="24"/>
    </row>
    <row r="86" spans="1:11" ht="15" customHeight="1" x14ac:dyDescent="0.4">
      <c r="B86" s="87" t="s">
        <v>160</v>
      </c>
      <c r="C86" s="167">
        <f>C85*Data!C4/Common_Shares</f>
        <v>1.3729078055917701</v>
      </c>
      <c r="D86" s="209"/>
      <c r="E86" s="168">
        <f>E85*Data!C4/Common_Shares</f>
        <v>1.3729078055917698</v>
      </c>
      <c r="F86" s="209"/>
      <c r="H86" s="168">
        <f>H85*Data!C4/Common_Shares</f>
        <v>1.3729078055917698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0.14332693095499432</v>
      </c>
      <c r="D87" s="209"/>
      <c r="E87" s="262">
        <f>E86*Exchange_Rate/Dashboard!G3</f>
        <v>0.1433269309549943</v>
      </c>
      <c r="F87" s="209"/>
      <c r="H87" s="262">
        <f>H86*Exchange_Rate/Dashboard!G3</f>
        <v>0.1433269309549943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0.84</v>
      </c>
      <c r="D88" s="166">
        <f>C88/C86</f>
        <v>0.61184006426267734</v>
      </c>
      <c r="E88" s="170">
        <f>Inputs!E98</f>
        <v>0.84</v>
      </c>
      <c r="F88" s="166">
        <f>E88/E86</f>
        <v>0.61184006426267745</v>
      </c>
      <c r="H88" s="170">
        <f>Inputs!F98</f>
        <v>0.84</v>
      </c>
      <c r="I88" s="166">
        <f>H88/H86</f>
        <v>0.61184006426267745</v>
      </c>
      <c r="K88" s="24"/>
    </row>
    <row r="89" spans="1:11" ht="15" customHeight="1" x14ac:dyDescent="0.4">
      <c r="B89" s="87" t="s">
        <v>221</v>
      </c>
      <c r="C89" s="261">
        <f>C88*Exchange_Rate/Dashboard!G3</f>
        <v>8.7693158646076047E-2</v>
      </c>
      <c r="D89" s="209"/>
      <c r="E89" s="261">
        <f>E88*Exchange_Rate/Dashboard!G3</f>
        <v>8.7693158646076047E-2</v>
      </c>
      <c r="F89" s="209"/>
      <c r="H89" s="261">
        <f>H88*Exchange_Rate/Dashboard!G3</f>
        <v>8.7693158646076047E-2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47.486696099906588</v>
      </c>
      <c r="H93" s="87" t="s">
        <v>209</v>
      </c>
      <c r="I93" s="144">
        <f>FV(H87,D93,0,-(H86/(C93-D94)))*Exchange_Rate</f>
        <v>47.486696099906588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22.640691342920125</v>
      </c>
      <c r="H94" s="87" t="s">
        <v>210</v>
      </c>
      <c r="I94" s="144">
        <f>FV(H89,D93,0,-(H88/(C93-D94)))*Exchange_Rate</f>
        <v>22.640691342920125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42152007.818205848</v>
      </c>
      <c r="D97" s="213"/>
      <c r="E97" s="123">
        <f>PV(C94,D93,0,-F93)</f>
        <v>23.609280537053593</v>
      </c>
      <c r="F97" s="213"/>
      <c r="H97" s="123">
        <f>PV(C94,D93,0,-I93)</f>
        <v>23.609280537053593</v>
      </c>
      <c r="I97" s="123">
        <f>PV(C93,D93,0,-I93)</f>
        <v>32.243939557313908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42152007.818205848</v>
      </c>
      <c r="D100" s="109">
        <f>MIN(F100*(1-C94),E100)</f>
        <v>20.067888456495552</v>
      </c>
      <c r="E100" s="109">
        <f>MAX(E97-H98+E99,0)</f>
        <v>23.609280537053593</v>
      </c>
      <c r="F100" s="109">
        <f>(E100+H100)/2</f>
        <v>23.609280537053593</v>
      </c>
      <c r="H100" s="109">
        <f>MAX(C100*Data!$C$4/Common_Shares,0)</f>
        <v>23.609280537053593</v>
      </c>
      <c r="I100" s="109">
        <f>MAX(I97-H98+H99,0)</f>
        <v>32.243939557313908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20097220.419136129</v>
      </c>
      <c r="D103" s="109">
        <f>MIN(F103*(1-C94),E103)</f>
        <v>9.5679612557538896</v>
      </c>
      <c r="E103" s="123">
        <f>PV(C94,D93,0,-F94)</f>
        <v>11.256425006769282</v>
      </c>
      <c r="F103" s="109">
        <f>(E103+H103)/2</f>
        <v>11.256425006769282</v>
      </c>
      <c r="H103" s="123">
        <f>PV(C94,D93,0,-I94)</f>
        <v>11.256425006769282</v>
      </c>
      <c r="I103" s="109">
        <f>PV(C93,D93,0,-I94)</f>
        <v>15.373254893560658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31124614.118670985</v>
      </c>
      <c r="D106" s="109">
        <f>(D100+D103)/2</f>
        <v>14.817924856124721</v>
      </c>
      <c r="E106" s="123">
        <f>(E100+E103)/2</f>
        <v>17.432852771911438</v>
      </c>
      <c r="F106" s="109">
        <f>(F100+F103)/2</f>
        <v>17.432852771911438</v>
      </c>
      <c r="H106" s="123">
        <f>(H100+H103)/2</f>
        <v>17.432852771911438</v>
      </c>
      <c r="I106" s="123">
        <f>(I100+I103)/2</f>
        <v>23.808597225437282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