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B4C043A-E779-4798-A47B-7E89F6F644C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F44" i="4"/>
  <c r="F45" i="4" s="1"/>
  <c r="E44" i="4"/>
  <c r="E45" i="4" s="1"/>
  <c r="D44" i="4"/>
  <c r="D45" i="4" s="1"/>
  <c r="C44" i="4"/>
  <c r="C45" i="4" s="1"/>
  <c r="D94" i="3"/>
  <c r="C7" i="1"/>
  <c r="C33" i="1"/>
  <c r="B91" i="3"/>
  <c r="C97" i="4"/>
  <c r="C94" i="4"/>
  <c r="C96" i="4"/>
  <c r="C95" i="4"/>
  <c r="G45" i="4"/>
  <c r="H45" i="4"/>
  <c r="I45" i="4"/>
  <c r="J45" i="4"/>
  <c r="K45" i="4"/>
  <c r="L45" i="4"/>
  <c r="M45" i="4"/>
  <c r="D16" i="1"/>
  <c r="F94" i="4" l="1"/>
  <c r="E95" i="4"/>
  <c r="F95" i="4"/>
  <c r="F96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<sst xmlns="http://schemas.openxmlformats.org/spreadsheetml/2006/main" count="390" uniqueCount="269">
  <si>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</si>
  <si>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</si>
  <si>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</si>
  <si>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</si>
  <si>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</si>
  <si>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</si>
  <si>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</si>
  <si>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</si>
  <si>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</si>
  <si>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</si>
  <si>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</si>
  <si>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</si>
  <si>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</si>
  <si>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</si>
  <si>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</si>
  <si>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</si>
  <si>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</si>
  <si>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</si>
  <si>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</si>
  <si>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</si>
  <si>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</si>
  <si>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</si>
  <si>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</si>
  <si>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</si>
  <si>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</si>
  <si>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</si>
  <si>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</si>
  <si>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</si>
  <si>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</si>
  <si>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</si>
  <si>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</si>
  <si>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</si>
  <si>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</si>
  <si>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</si>
  <si>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</si>
  <si>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</si>
  <si>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</si>
  <si>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</si>
  <si>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</si>
  <si>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</si>
  <si>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</si>
  <si>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</si>
  <si>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</si>
  <si>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</si>
  <si>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</si>
  <si>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</si>
  <si>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</si>
  <si>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</si>
  <si>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</si>
  <si>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</si>
  <si>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</si>
  <si>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</si>
  <si>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</si>
  <si>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</si>
  <si>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</si>
  <si>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</si>
  <si>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</si>
  <si>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</si>
  <si>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</si>
  <si>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</si>
  <si>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</si>
  <si>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</si>
  <si>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</si>
  <si>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</si>
  <si>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</si>
  <si>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</si>
  <si>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</si>
  <si>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</si>
  <si>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</si>
  <si>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</si>
  <si>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</si>
  <si>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</si>
  <si>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</si>
  <si>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</si>
  <si>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</si>
  <si>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</si>
  <si>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</si>
  <si>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</si>
  <si>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</si>
  <si>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</si>
  <si>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</si>
  <si>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</si>
  <si>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</si>
  <si>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</si>
  <si>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</si>
  <si>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</si>
  <si>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</si>
  <si>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</si>
  <si>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</si>
  <si>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</si>
  <si>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</si>
  <si>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</si>
  <si>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</si>
  <si>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</si>
  <si>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</si>
  <si>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</si>
  <si>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</si>
  <si>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</si>
  <si>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</si>
  <si>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</si>
  <si>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</si>
  <si>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</si>
  <si>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</si>
  <si>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</si>
  <si>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</si>
  <si>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</si>
  <si>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</si>
  <si>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</si>
  <si>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</si>
  <si>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</si>
  <si>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</si>
  <si>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</si>
  <si>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</si>
  <si>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</si>
  <si>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</si>
  <si>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</si>
  <si>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</si>
  <si>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</si>
  <si>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</si>
  <si>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</si>
  <si>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</si>
  <si>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</si>
  <si>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</si>
  <si>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</si>
  <si>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</si>
  <si>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</si>
  <si>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</si>
  <si>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</si>
  <si>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</si>
  <si>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</si>
  <si>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</si>
  <si>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</si>
  <si>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</si>
  <si>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</si>
  <si>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</si>
  <si>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</si>
  <si>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</si>
  <si>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</si>
  <si>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</si>
  <si>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</si>
  <si>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</si>
  <si>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</si>
  <si>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</si>
  <si>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</si>
  <si>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</si>
  <si>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</si>
  <si>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</si>
  <si>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</si>
  <si>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</si>
  <si>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</si>
  <si>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</si>
  <si>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</si>
  <si>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</si>
  <si>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</si>
  <si>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</si>
  <si>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</si>
  <si>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</si>
  <si>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</si>
  <si>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</si>
  <si>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</si>
  <si>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</si>
  <si>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</si>
  <si>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</si>
  <si>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</si>
  <si>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</si>
  <si>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</si>
  <si>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</si>
  <si>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</si>
  <si>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</si>
  <si>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</si>
  <si>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</si>
  <si>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</si>
  <si>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</si>
  <si>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</si>
  <si>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</si>
  <si>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</si>
  <si>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</si>
  <si>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</si>
  <si>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</si>
  <si>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</si>
  <si>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</si>
  <si>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</si>
  <si>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</si>
  <si>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</si>
  <si>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</si>
  <si>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</si>
  <si>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</si>
  <si>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</si>
  <si>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</si>
  <si>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</si>
  <si>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</si>
  <si>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</si>
  <si>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</si>
  <si>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</si>
  <si>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</si>
  <si>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</si>
  <si>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</si>
  <si>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</si>
  <si>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</si>
  <si>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</si>
  <si>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</si>
  <si>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</si>
  <si>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</si>
  <si>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</si>
  <si>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</si>
  <si>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</si>
  <si>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</si>
  <si>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</si>
  <si>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</si>
  <si>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</si>
  <si>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</si>
  <si>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</si>
  <si>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</si>
  <si>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</si>
  <si>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</si>
  <si>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</si>
  <si>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</si>
  <si>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</si>
  <si>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</si>
  <si>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</si>
  <si>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</si>
  <si>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</si>
  <si>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</si>
  <si>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</si>
  <si>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</si>
  <si>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</si>
  <si>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</si>
  <si>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</si>
  <si>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</si>
  <si>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</si>
  <si>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</si>
  <si>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</si>
  <si>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</si>
  <si>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</si>
  <si>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</si>
  <si>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</si>
  <si>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</si>
  <si>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</si>
  <si>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</si>
  <si>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</si>
  <si>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</si>
  <si>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</si>
  <si>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</si>
  <si>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</si>
  <si>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</si>
  <si>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</si>
  <si>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</si>
  <si>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</si>
  <si>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</si>
  <si>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</si>
  <si>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</si>
  <si>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</si>
  <si>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</si>
  <si>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</si>
  <si>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</si>
  <si>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</si>
  <si>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</si>
  <si>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</si>
  <si>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</si>
  <si>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</si>
  <si>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</si>
  <si>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</si>
  <si>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</si>
  <si>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</si>
  <si>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0586.HK</t>
  </si>
  <si>
    <t>海螺創業</t>
  </si>
  <si>
    <t>C0005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</si>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</sst>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0.72817771110454854</c:v>
                </c:pt>
                <c:pt idx="1">
                  <c:v>7.9163355774414426E-2</c:v>
                </c:pt>
                <c:pt idx="2">
                  <c:v>3.6432561371954733E-2</c:v>
                </c:pt>
                <c:pt idx="3">
                  <c:v>0</c:v>
                </c:pt>
                <c:pt idx="4">
                  <c:v>9.0816324111742036E-2</c:v>
                </c:pt>
                <c:pt idx="5">
                  <c:v>0</c:v>
                </c:pt>
                <c:pt idx="6">
                  <c:v>6.5410047637340207E-2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45637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1792041059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8015211</v>
      </c>
      <c r="D25" s="149">
        <v>7896322</v>
      </c>
      <c r="E25" s="149">
        <v>6680738</v>
      </c>
      <c r="F25" s="149">
        <v>5467178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5836498</v>
      </c>
      <c r="D26" s="150">
        <v>5667569</v>
      </c>
      <c r="E26" s="150">
        <v>5033282</v>
      </c>
      <c r="F26" s="150">
        <v>4055231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634511</v>
      </c>
      <c r="D27" s="150">
        <v>559116</v>
      </c>
      <c r="E27" s="150">
        <v>424153</v>
      </c>
      <c r="F27" s="150">
        <v>289355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727912</v>
      </c>
      <c r="D29" s="150">
        <v>599440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219011</v>
      </c>
      <c r="D30" s="150">
        <v>231390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(0.2+0.1)/Exchange_Rate</f>
        <v>0.28008346247282734</v>
      </c>
      <c r="D44" s="250">
        <f>0.4/Exchange_Rate</f>
        <v>0.37344461663043638</v>
      </c>
      <c r="E44" s="250">
        <f>0.7/Exchange_Rate</f>
        <v>0.6535280791032636</v>
      </c>
      <c r="F44" s="250">
        <f>0.7/Exchange_Rate</f>
        <v>0.6535280791032636</v>
      </c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4.3165467625899283E-2</v>
      </c>
      <c r="D45" s="152">
        <f>IF(D44="","",D44*Exchange_Rate/Dashboard!$G$3)</f>
        <v>5.7553956834532377E-2</v>
      </c>
      <c r="E45" s="152">
        <f>IF(E44="","",E44*Exchange_Rate/Dashboard!$G$3)</f>
        <v>0.10071942446043164</v>
      </c>
      <c r="F45" s="152">
        <f>IF(F44="","",F44*Exchange_Rate/Dashboard!$G$3)</f>
        <v>0.10071942446043164</v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8015211</v>
      </c>
      <c r="D91" s="209"/>
      <c r="E91" s="251">
        <f>C91</f>
        <v>8015211</v>
      </c>
      <c r="F91" s="251">
        <f>C91</f>
        <v>8015211</v>
      </c>
    </row>
    <row r="92" spans="2:8" ht="13.9" x14ac:dyDescent="0.4">
      <c r="B92" s="104" t="s">
        <v>105</v>
      </c>
      <c r="C92" s="77">
        <f>C26</f>
        <v>5836498</v>
      </c>
      <c r="D92" s="159">
        <f>C92/C91</f>
        <v>0.72817771110454854</v>
      </c>
      <c r="E92" s="252">
        <f>E91*D92</f>
        <v>5836498</v>
      </c>
      <c r="F92" s="252">
        <f>F91*D92</f>
        <v>5836498</v>
      </c>
    </row>
    <row r="93" spans="2:8" ht="13.9" x14ac:dyDescent="0.4">
      <c r="B93" s="104" t="s">
        <v>247</v>
      </c>
      <c r="C93" s="77">
        <f>C27+C28</f>
        <v>634511</v>
      </c>
      <c r="D93" s="159">
        <f>C93/C91</f>
        <v>7.9163355774414426E-2</v>
      </c>
      <c r="E93" s="252">
        <f>E91*D93</f>
        <v>634511</v>
      </c>
      <c r="F93" s="252">
        <f>F91*D93</f>
        <v>634511</v>
      </c>
    </row>
    <row r="94" spans="2:8" ht="13.9" x14ac:dyDescent="0.4">
      <c r="B94" s="104" t="s">
        <v>257</v>
      </c>
      <c r="C94" s="77">
        <f>C29</f>
        <v>727912</v>
      </c>
      <c r="D94" s="159">
        <f>C94/C91</f>
        <v>9.0816324111742036E-2</v>
      </c>
      <c r="E94" s="253"/>
      <c r="F94" s="252">
        <f>F91*D94</f>
        <v>727912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292014.66666666669</v>
      </c>
      <c r="D97" s="159">
        <f>C97/C91</f>
        <v>3.6432561371954733E-2</v>
      </c>
      <c r="E97" s="253"/>
      <c r="F97" s="252">
        <f>F91*D97</f>
        <v>292014.66666666669</v>
      </c>
    </row>
    <row r="98" spans="2:7" ht="13.9" x14ac:dyDescent="0.4">
      <c r="B98" s="86" t="s">
        <v>207</v>
      </c>
      <c r="C98" s="237">
        <f>C44</f>
        <v>0.28008346247282734</v>
      </c>
      <c r="D98" s="266"/>
      <c r="E98" s="254">
        <f>F98</f>
        <v>0.18672230831521819</v>
      </c>
      <c r="F98" s="254">
        <f>0.2/Exchange_Rate</f>
        <v>0.18672230831521819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0586.HK : 海螺創業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0586.HK</v>
      </c>
      <c r="D3" s="278"/>
      <c r="E3" s="87"/>
      <c r="F3" s="3" t="s">
        <v>1</v>
      </c>
      <c r="G3" s="132">
        <v>6.95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海螺創業</v>
      </c>
      <c r="D4" s="280"/>
      <c r="E4" s="87"/>
      <c r="F4" s="3" t="s">
        <v>2</v>
      </c>
      <c r="G4" s="283">
        <f>Inputs!C10</f>
        <v>1792041059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45637</v>
      </c>
      <c r="D5" s="282"/>
      <c r="E5" s="34"/>
      <c r="F5" s="35" t="s">
        <v>99</v>
      </c>
      <c r="G5" s="275">
        <f>G3*G4/1000000</f>
        <v>12454.685360050002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C0005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0.72817771110454854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7.9163355774414426E-2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3.6432561371954733E-2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9.0816324111742036E-2</v>
      </c>
      <c r="F24" s="140" t="s">
        <v>260</v>
      </c>
      <c r="G24" s="268">
        <f>G3/(Fin_Analysis!H86*G7)</f>
        <v>29.571835661011338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0.85098807657586584</v>
      </c>
    </row>
    <row r="26" spans="1:8" ht="15.75" customHeight="1" x14ac:dyDescent="0.4">
      <c r="B26" s="138" t="s">
        <v>173</v>
      </c>
      <c r="C26" s="171">
        <f>Fin_Analysis!I83</f>
        <v>6.5410047637340207E-2</v>
      </c>
      <c r="F26" s="141" t="s">
        <v>193</v>
      </c>
      <c r="G26" s="178">
        <f>Fin_Analysis!H88*Exchange_Rate/G3</f>
        <v>2.8776978417266189E-2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1.9386393849109991</v>
      </c>
      <c r="D29" s="129">
        <f>G29*(1+G20)</f>
        <v>3.5821295787502403</v>
      </c>
      <c r="E29" s="87"/>
      <c r="F29" s="131">
        <f>IF(Fin_Analysis!C108="Profit",Fin_Analysis!F100,IF(Fin_Analysis!C108="Dividend",Fin_Analysis!F103,Fin_Analysis!F106))</f>
        <v>2.2807522175423518</v>
      </c>
      <c r="G29" s="274">
        <f>IF(Fin_Analysis!C108="Profit",Fin_Analysis!I100,IF(Fin_Analysis!C108="Dividend",Fin_Analysis!I103,Fin_Analysis!I106))</f>
        <v>3.1148952858697743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1252187.3333333333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8015211</v>
      </c>
      <c r="D6" s="200">
        <f>IF(Inputs!D25="","",Inputs!D25)</f>
        <v>7896322</v>
      </c>
      <c r="E6" s="200">
        <f>IF(Inputs!E25="","",Inputs!E25)</f>
        <v>6680738</v>
      </c>
      <c r="F6" s="200">
        <f>IF(Inputs!F25="","",Inputs!F25)</f>
        <v>5467178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1.5056250239035229E-2</v>
      </c>
      <c r="D7" s="92">
        <f t="shared" si="1"/>
        <v>0.18195355064066265</v>
      </c>
      <c r="E7" s="92">
        <f t="shared" si="1"/>
        <v>0.22197192043134506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5836498</v>
      </c>
      <c r="D8" s="199">
        <f>IF(Inputs!D26="","",Inputs!D26)</f>
        <v>5667569</v>
      </c>
      <c r="E8" s="199">
        <f>IF(Inputs!E26="","",Inputs!E26)</f>
        <v>5033282</v>
      </c>
      <c r="F8" s="199">
        <f>IF(Inputs!F26="","",Inputs!F26)</f>
        <v>4055231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2178713</v>
      </c>
      <c r="D9" s="151">
        <f t="shared" si="2"/>
        <v>2228753</v>
      </c>
      <c r="E9" s="151">
        <f t="shared" si="2"/>
        <v>1647456</v>
      </c>
      <c r="F9" s="151">
        <f t="shared" si="2"/>
        <v>1411947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634511</v>
      </c>
      <c r="D10" s="199">
        <f>IF(Inputs!D27="","",Inputs!D27)</f>
        <v>559116</v>
      </c>
      <c r="E10" s="199">
        <f>IF(Inputs!E27="","",Inputs!E27)</f>
        <v>424153</v>
      </c>
      <c r="F10" s="199">
        <f>IF(Inputs!F27="","",Inputs!F27)</f>
        <v>289355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292014.66666666669</v>
      </c>
      <c r="D12" s="199">
        <f>IF(Inputs!D30="","",MAX(Inputs!D30,0)/(1-Fin_Analysis!$I$84))</f>
        <v>308520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0.15622637174908224</v>
      </c>
      <c r="D13" s="229">
        <f t="shared" si="3"/>
        <v>0.17237354302420799</v>
      </c>
      <c r="E13" s="229">
        <f t="shared" si="3"/>
        <v>0.18310896191408793</v>
      </c>
      <c r="F13" s="229">
        <f t="shared" si="3"/>
        <v>0.2053329889752995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1252187.3333333333</v>
      </c>
      <c r="D14" s="230">
        <f t="shared" ref="D14:M14" si="4">IF(D6="","",D9-D10-MAX(D11,0)-MAX(D12,0))</f>
        <v>1361117</v>
      </c>
      <c r="E14" s="230">
        <f t="shared" si="4"/>
        <v>1223303</v>
      </c>
      <c r="F14" s="230">
        <f t="shared" si="4"/>
        <v>1122592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-8.0029612933103289E-2</v>
      </c>
      <c r="D15" s="232">
        <f t="shared" ref="D15:M15" si="5">IF(E14="","",IF(ABS(D14+E14)=ABS(D14)+ABS(E14),IF(D14&lt;0,-1,1)*(D14-E14)/E14,"Turn"))</f>
        <v>0.1126572893224328</v>
      </c>
      <c r="E15" s="232">
        <f t="shared" si="5"/>
        <v>8.9712914398107232E-2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727912</v>
      </c>
      <c r="D17" s="199">
        <f>IF(Inputs!D29="","",Inputs!D29)</f>
        <v>599440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524275.33333333326</v>
      </c>
      <c r="D22" s="161">
        <f t="shared" ref="D22:M22" si="8">IF(D6="","",D14-MAX(D16,0)-MAX(D17,0)-ABS(MAX(D21,0)-MAX(D19,0)))</f>
        <v>761677</v>
      </c>
      <c r="E22" s="161">
        <f t="shared" si="8"/>
        <v>1223303</v>
      </c>
      <c r="F22" s="161">
        <f t="shared" si="8"/>
        <v>1122592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4.9057535728005155E-2</v>
      </c>
      <c r="D23" s="153">
        <f t="shared" si="9"/>
        <v>7.2344789130939696E-2</v>
      </c>
      <c r="E23" s="153">
        <f t="shared" si="9"/>
        <v>0.13733172143556596</v>
      </c>
      <c r="F23" s="153">
        <f t="shared" si="9"/>
        <v>0.15399974173147463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393206.49999999994</v>
      </c>
      <c r="D24" s="77">
        <f>IF(D6="","",D22*(1-Fin_Analysis!$I$84))</f>
        <v>571257.75</v>
      </c>
      <c r="E24" s="77">
        <f>IF(E6="","",E22*(1-Fin_Analysis!$I$84))</f>
        <v>917477.25</v>
      </c>
      <c r="F24" s="77">
        <f>IF(F6="","",F22*(1-Fin_Analysis!$I$84))</f>
        <v>841944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-0.31168286119531868</v>
      </c>
      <c r="D25" s="233">
        <f t="shared" ref="D25:M25" si="10">IF(E24="","",IF(ABS(D24+E24)=ABS(D24)+ABS(E24),IF(D24&lt;0,-1,1)*(D24-E24)/E24,"Turn"))</f>
        <v>-0.37736031056900865</v>
      </c>
      <c r="E25" s="233">
        <f t="shared" si="10"/>
        <v>8.9712914398107232E-2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0.72817771110454854</v>
      </c>
      <c r="D42" s="156">
        <f t="shared" si="34"/>
        <v>0.71774795911311617</v>
      </c>
      <c r="E42" s="156">
        <f t="shared" si="34"/>
        <v>0.75340209419977255</v>
      </c>
      <c r="F42" s="156">
        <f t="shared" si="34"/>
        <v>0.74174116884432884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7.9163355774414426E-2</v>
      </c>
      <c r="D43" s="153">
        <f t="shared" si="35"/>
        <v>7.080714286980698E-2</v>
      </c>
      <c r="E43" s="153">
        <f t="shared" si="35"/>
        <v>6.3488943886139529E-2</v>
      </c>
      <c r="F43" s="153">
        <f t="shared" si="35"/>
        <v>5.2925842180371663E-2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9.0816324111742036E-2</v>
      </c>
      <c r="D45" s="153">
        <f t="shared" si="37"/>
        <v>7.5913824182955059E-2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3.6432561371954733E-2</v>
      </c>
      <c r="D46" s="153">
        <f t="shared" ref="D46:M46" si="38">IF(D6="","",MAX(D12,0)/D6)</f>
        <v>3.9071354992868831E-2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6.5410047637340207E-2</v>
      </c>
      <c r="D48" s="153">
        <f t="shared" si="40"/>
        <v>9.6459718841252928E-2</v>
      </c>
      <c r="E48" s="153">
        <f t="shared" si="40"/>
        <v>0.18310896191408793</v>
      </c>
      <c r="F48" s="153">
        <f t="shared" si="40"/>
        <v>0.2053329889752995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1.388415501778328</v>
      </c>
      <c r="D55" s="153">
        <f t="shared" si="45"/>
        <v>0.787000263891387</v>
      </c>
      <c r="E55" s="153" t="str">
        <f t="shared" si="45"/>
        <v>-</v>
      </c>
      <c r="F55" s="153" t="str">
        <f t="shared" si="45"/>
        <v>-</v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8015211</v>
      </c>
      <c r="D74" s="209"/>
      <c r="E74" s="238">
        <f>Inputs!E91</f>
        <v>8015211</v>
      </c>
      <c r="F74" s="209"/>
      <c r="H74" s="238">
        <f>Inputs!F91</f>
        <v>8015211</v>
      </c>
      <c r="I74" s="209"/>
      <c r="K74" s="24"/>
    </row>
    <row r="75" spans="1:11" ht="15" customHeight="1" x14ac:dyDescent="0.4">
      <c r="B75" s="104" t="s">
        <v>105</v>
      </c>
      <c r="C75" s="77">
        <f>Data!C8</f>
        <v>5836498</v>
      </c>
      <c r="D75" s="159">
        <f>C75/$C$74</f>
        <v>0.72817771110454854</v>
      </c>
      <c r="E75" s="238">
        <f>Inputs!E92</f>
        <v>5836498</v>
      </c>
      <c r="F75" s="160">
        <f>E75/E74</f>
        <v>0.72817771110454854</v>
      </c>
      <c r="H75" s="238">
        <f>Inputs!F92</f>
        <v>5836498</v>
      </c>
      <c r="I75" s="160">
        <f>H75/$H$74</f>
        <v>0.72817771110454854</v>
      </c>
      <c r="K75" s="24"/>
    </row>
    <row r="76" spans="1:11" ht="15" customHeight="1" x14ac:dyDescent="0.4">
      <c r="B76" s="35" t="s">
        <v>95</v>
      </c>
      <c r="C76" s="161">
        <f>C74-C75</f>
        <v>2178713</v>
      </c>
      <c r="D76" s="210"/>
      <c r="E76" s="162">
        <f>E74-E75</f>
        <v>2178713</v>
      </c>
      <c r="F76" s="210"/>
      <c r="H76" s="162">
        <f>H74-H75</f>
        <v>2178713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634511</v>
      </c>
      <c r="D77" s="159">
        <f>C77/$C$74</f>
        <v>7.9163355774414426E-2</v>
      </c>
      <c r="E77" s="238">
        <f>Inputs!E93</f>
        <v>634511</v>
      </c>
      <c r="F77" s="160">
        <f>E77/E74</f>
        <v>7.9163355774414426E-2</v>
      </c>
      <c r="H77" s="238">
        <f>Inputs!F93</f>
        <v>634511</v>
      </c>
      <c r="I77" s="160">
        <f>H77/$H$74</f>
        <v>7.9163355774414426E-2</v>
      </c>
      <c r="K77" s="24"/>
    </row>
    <row r="78" spans="1:11" ht="15" customHeight="1" x14ac:dyDescent="0.4">
      <c r="B78" s="73" t="s">
        <v>172</v>
      </c>
      <c r="C78" s="77">
        <f>MAX(Data!C12,0)</f>
        <v>292014.66666666669</v>
      </c>
      <c r="D78" s="159">
        <f>C78/$C$74</f>
        <v>3.6432561371954733E-2</v>
      </c>
      <c r="E78" s="180">
        <f>E74*F78</f>
        <v>292014.66666666669</v>
      </c>
      <c r="F78" s="160">
        <f>I78</f>
        <v>3.6432561371954733E-2</v>
      </c>
      <c r="H78" s="238">
        <f>Inputs!F97</f>
        <v>292014.66666666669</v>
      </c>
      <c r="I78" s="160">
        <f>H78/$H$74</f>
        <v>3.6432561371954733E-2</v>
      </c>
      <c r="K78" s="24"/>
    </row>
    <row r="79" spans="1:11" ht="15" customHeight="1" x14ac:dyDescent="0.4">
      <c r="B79" s="256" t="s">
        <v>232</v>
      </c>
      <c r="C79" s="257">
        <f>C76-C77-C78</f>
        <v>1252187.3333333333</v>
      </c>
      <c r="D79" s="258">
        <f>C79/C74</f>
        <v>0.15622637174908224</v>
      </c>
      <c r="E79" s="259">
        <f>E76-E77-E78</f>
        <v>1252187.3333333333</v>
      </c>
      <c r="F79" s="258">
        <f>E79/E74</f>
        <v>0.15622637174908224</v>
      </c>
      <c r="G79" s="260"/>
      <c r="H79" s="259">
        <f>H76-H77-H78</f>
        <v>1252187.3333333333</v>
      </c>
      <c r="I79" s="258">
        <f>H79/H74</f>
        <v>0.15622637174908224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727912</v>
      </c>
      <c r="D81" s="159">
        <f>C81/$C$74</f>
        <v>9.0816324111742036E-2</v>
      </c>
      <c r="E81" s="180">
        <f>E74*F81</f>
        <v>727912</v>
      </c>
      <c r="F81" s="160">
        <f>I81</f>
        <v>9.0816324111742036E-2</v>
      </c>
      <c r="H81" s="238">
        <f>Inputs!F94</f>
        <v>727912</v>
      </c>
      <c r="I81" s="160">
        <f>H81/$H$74</f>
        <v>9.0816324111742036E-2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524275.33333333326</v>
      </c>
      <c r="D83" s="164">
        <f>C83/$C$74</f>
        <v>6.5410047637340207E-2</v>
      </c>
      <c r="E83" s="165">
        <f>E79-E81-E82-E80</f>
        <v>524275.33333333326</v>
      </c>
      <c r="F83" s="164">
        <f>E83/E74</f>
        <v>6.5410047637340207E-2</v>
      </c>
      <c r="H83" s="165">
        <f>H79-H81-H82-H80</f>
        <v>524275.33333333326</v>
      </c>
      <c r="I83" s="164">
        <f>H83/$H$74</f>
        <v>6.5410047637340207E-2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393206.49999999994</v>
      </c>
      <c r="D85" s="258">
        <f>C85/$C$74</f>
        <v>4.9057535728005155E-2</v>
      </c>
      <c r="E85" s="264">
        <f>E83*(1-F84)</f>
        <v>393206.49999999994</v>
      </c>
      <c r="F85" s="258">
        <f>E85/E74</f>
        <v>4.9057535728005155E-2</v>
      </c>
      <c r="G85" s="260"/>
      <c r="H85" s="264">
        <f>H83*(1-I84)</f>
        <v>393206.49999999994</v>
      </c>
      <c r="I85" s="258">
        <f>H85/$H$74</f>
        <v>4.9057535728005155E-2</v>
      </c>
      <c r="K85" s="24"/>
    </row>
    <row r="86" spans="1:11" ht="15" customHeight="1" x14ac:dyDescent="0.4">
      <c r="B86" s="87" t="s">
        <v>160</v>
      </c>
      <c r="C86" s="167">
        <f>C85*Data!C4/Common_Shares</f>
        <v>0.21941824269328861</v>
      </c>
      <c r="D86" s="209"/>
      <c r="E86" s="168">
        <f>E85*Data!C4/Common_Shares</f>
        <v>0.21941824269328861</v>
      </c>
      <c r="F86" s="209"/>
      <c r="H86" s="168">
        <f>H85*Data!C4/Common_Shares</f>
        <v>0.21941824269328861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3.3815959599641593E-2</v>
      </c>
      <c r="D87" s="209"/>
      <c r="E87" s="262">
        <f>E86*Exchange_Rate/Dashboard!G3</f>
        <v>3.3815959599641593E-2</v>
      </c>
      <c r="F87" s="209"/>
      <c r="H87" s="262">
        <f>H86*Exchange_Rate/Dashboard!G3</f>
        <v>3.3815959599641593E-2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0.28008346247282734</v>
      </c>
      <c r="D88" s="166">
        <f>C88/C86</f>
        <v>1.276482114863799</v>
      </c>
      <c r="E88" s="170">
        <f>Inputs!E98</f>
        <v>0.18672230831521819</v>
      </c>
      <c r="F88" s="166">
        <f>E88/E86</f>
        <v>0.85098807657586584</v>
      </c>
      <c r="H88" s="170">
        <f>Inputs!F98</f>
        <v>0.18672230831521819</v>
      </c>
      <c r="I88" s="166">
        <f>H88/H86</f>
        <v>0.85098807657586584</v>
      </c>
      <c r="K88" s="24"/>
    </row>
    <row r="89" spans="1:11" ht="15" customHeight="1" x14ac:dyDescent="0.4">
      <c r="B89" s="87" t="s">
        <v>221</v>
      </c>
      <c r="C89" s="261">
        <f>C88*Exchange_Rate/Dashboard!G3</f>
        <v>4.3165467625899283E-2</v>
      </c>
      <c r="D89" s="209"/>
      <c r="E89" s="261">
        <f>E88*Exchange_Rate/Dashboard!G3</f>
        <v>2.8776978417266189E-2</v>
      </c>
      <c r="F89" s="209"/>
      <c r="H89" s="261">
        <f>H88*Exchange_Rate/Dashboard!G3</f>
        <v>2.8776978417266189E-2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4.5874073656603711</v>
      </c>
      <c r="H93" s="87" t="s">
        <v>209</v>
      </c>
      <c r="I93" s="144">
        <f>FV(H87,D93,0,-(H86/(C93-D94)))*Exchange_Rate</f>
        <v>4.5874073656603711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3.8096125351545873</v>
      </c>
      <c r="H94" s="87" t="s">
        <v>210</v>
      </c>
      <c r="I94" s="144">
        <f>FV(H89,D93,0,-(H88/(C93-D94)))*Exchange_Rate</f>
        <v>3.8096125351545873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4087201.6192411948</v>
      </c>
      <c r="D97" s="213"/>
      <c r="E97" s="123">
        <f>PV(C94,D93,0,-F93)</f>
        <v>2.2807522175423518</v>
      </c>
      <c r="F97" s="213"/>
      <c r="H97" s="123">
        <f>PV(C94,D93,0,-I93)</f>
        <v>2.2807522175423518</v>
      </c>
      <c r="I97" s="123">
        <f>PV(C93,D93,0,-I93)</f>
        <v>3.1148952858697743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4087201.6192411948</v>
      </c>
      <c r="D100" s="109">
        <f>MIN(F100*(1-C94),E100)</f>
        <v>1.9386393849109991</v>
      </c>
      <c r="E100" s="109">
        <f>MAX(E97-H98+E99,0)</f>
        <v>2.2807522175423518</v>
      </c>
      <c r="F100" s="109">
        <f>(E100+H100)/2</f>
        <v>2.2807522175423518</v>
      </c>
      <c r="H100" s="109">
        <f>MAX(C100*Data!$C$4/Common_Shares,0)</f>
        <v>2.2807522175423518</v>
      </c>
      <c r="I100" s="109">
        <f>MAX(I97-H98+H99,0)</f>
        <v>3.1148952858697743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3394216.6634080769</v>
      </c>
      <c r="D103" s="109">
        <f>MIN(F103*(1-C94),E103)</f>
        <v>1.6099431145326595</v>
      </c>
      <c r="E103" s="123">
        <f>PV(C94,D93,0,-F94)</f>
        <v>1.8940507229795993</v>
      </c>
      <c r="F103" s="109">
        <f>(E103+H103)/2</f>
        <v>1.8940507229795993</v>
      </c>
      <c r="H103" s="123">
        <f>PV(C94,D93,0,-I94)</f>
        <v>1.8940507229795993</v>
      </c>
      <c r="I103" s="109">
        <f>PV(C93,D93,0,-I94)</f>
        <v>2.5867648501356055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3740709.1413246361</v>
      </c>
      <c r="D106" s="109">
        <f>(D100+D103)/2</f>
        <v>1.7742912497218293</v>
      </c>
      <c r="E106" s="123">
        <f>(E100+E103)/2</f>
        <v>2.0874014702609758</v>
      </c>
      <c r="F106" s="109">
        <f>(F100+F103)/2</f>
        <v>2.0874014702609758</v>
      </c>
      <c r="H106" s="123">
        <f>(H100+H103)/2</f>
        <v>2.0874014702609758</v>
      </c>
      <c r="I106" s="123">
        <f>(I100+I103)/2</f>
        <v>2.8508300680026899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