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E16D54A-80EA-478A-B168-E036BC7BB17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2" i="4"/>
  <c r="E92" i="4"/>
  <c r="F91" i="4"/>
  <c r="F97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D45" i="4" s="1"/>
  <c r="C44" i="4"/>
  <c r="D43" i="4"/>
  <c r="D40" i="4"/>
  <c r="D39" i="4"/>
  <c r="D35" i="4"/>
  <c r="D27" i="4"/>
  <c r="C27" i="4"/>
  <c r="D94" i="3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<sst xmlns="http://schemas.openxmlformats.org/spreadsheetml/2006/main" count="390" uniqueCount="271">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</sst>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0.51871628777616319</c:v>
                </c:pt>
                <c:pt idx="1">
                  <c:v>0.22616191719415779</c:v>
                </c:pt>
                <c:pt idx="2">
                  <c:v>6.2001756935379264E-3</c:v>
                </c:pt>
                <c:pt idx="3">
                  <c:v>0</c:v>
                </c:pt>
                <c:pt idx="4">
                  <c:v>2.0144003021272054E-2</c:v>
                </c:pt>
                <c:pt idx="5">
                  <c:v>0</c:v>
                </c:pt>
                <c:pt idx="6">
                  <c:v>0.22877761631486909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265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9267407258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609015</v>
      </c>
      <c r="D25" s="149">
        <v>554552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315906</v>
      </c>
      <c r="D26" s="150">
        <v>315806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34211+103525</f>
        <v>137736</v>
      </c>
      <c r="D27" s="150">
        <f>29229+106696</f>
        <v>135925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12268</v>
      </c>
      <c r="D29" s="150">
        <v>9352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2832</v>
      </c>
      <c r="D30" s="150">
        <v>466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3.4/Exchange_Rate</f>
        <v>3.1742792413587093</v>
      </c>
      <c r="D44" s="250">
        <f>2.4/Exchange_Rate</f>
        <v>2.2406676997826183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8.30078125E-3</v>
      </c>
      <c r="D45" s="152">
        <f>IF(D44="","",D44*Exchange_Rate/Dashboard!$G$3)</f>
        <v>5.8593749999999991E-3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135</v>
      </c>
      <c r="C49" s="59">
        <v>3408</v>
      </c>
      <c r="D49" s="60">
        <v>0.8</v>
      </c>
      <c r="E49" s="112"/>
    </row>
    <row r="50" spans="2:5" ht="13.9" x14ac:dyDescent="0.4">
      <c r="B50" s="3" t="s">
        <v>116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43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>
        <v>92844</v>
      </c>
      <c r="D54" s="60">
        <v>0.1</v>
      </c>
      <c r="E54" s="112"/>
    </row>
    <row r="55" spans="2:5" ht="13.9" x14ac:dyDescent="0.4">
      <c r="B55" s="3" t="s">
        <v>46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f>262961+7221</f>
        <v>270182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659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13463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177621</v>
      </c>
      <c r="D70" s="60">
        <v>0.05</v>
      </c>
      <c r="E70" s="112"/>
    </row>
    <row r="71" spans="2:5" ht="13.9" x14ac:dyDescent="0.4">
      <c r="B71" s="3" t="s">
        <v>74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52462</v>
      </c>
    </row>
    <row r="74" spans="2:5" ht="13.9" x14ac:dyDescent="0.4">
      <c r="B74" s="3" t="s">
        <v>39</v>
      </c>
      <c r="C74" s="59">
        <v>5999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61</v>
      </c>
      <c r="C78" s="59">
        <v>152946</v>
      </c>
    </row>
    <row r="79" spans="2:5" ht="13.9" x14ac:dyDescent="0.4">
      <c r="B79" s="3" t="s">
        <v>63</v>
      </c>
      <c r="C79" s="59">
        <v>14979</v>
      </c>
    </row>
    <row r="80" spans="2:5" ht="13.9" x14ac:dyDescent="0.4">
      <c r="B80" s="3" t="s">
        <v>65</v>
      </c>
      <c r="C80" s="59">
        <v>0</v>
      </c>
    </row>
    <row r="81" spans="2:8" ht="13.9" x14ac:dyDescent="0.4">
      <c r="B81" s="86" t="s">
        <v>66</v>
      </c>
      <c r="C81" s="120">
        <v>86574</v>
      </c>
    </row>
    <row r="82" spans="2:8" ht="14.25" thickBot="1" x14ac:dyDescent="0.45">
      <c r="B82" s="80" t="s">
        <v>84</v>
      </c>
      <c r="C82" s="83">
        <v>339547</v>
      </c>
    </row>
    <row r="83" spans="2:8" ht="14.25" thickTop="1" x14ac:dyDescent="0.4">
      <c r="B83" s="73" t="s">
        <v>220</v>
      </c>
      <c r="C83" s="59">
        <v>860681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609015</v>
      </c>
      <c r="D91" s="209"/>
      <c r="E91" s="251">
        <f>C91</f>
        <v>609015</v>
      </c>
      <c r="F91" s="251">
        <f>C91</f>
        <v>609015</v>
      </c>
    </row>
    <row r="92" spans="2:8" ht="13.9" x14ac:dyDescent="0.4">
      <c r="B92" s="104" t="s">
        <v>105</v>
      </c>
      <c r="C92" s="77">
        <f>C26</f>
        <v>315906</v>
      </c>
      <c r="D92" s="159">
        <f>C92/C91</f>
        <v>0.51871628777616319</v>
      </c>
      <c r="E92" s="252">
        <f>E91*D92</f>
        <v>315906</v>
      </c>
      <c r="F92" s="252">
        <f>F91*D92</f>
        <v>315906</v>
      </c>
    </row>
    <row r="93" spans="2:8" ht="13.9" x14ac:dyDescent="0.4">
      <c r="B93" s="104" t="s">
        <v>247</v>
      </c>
      <c r="C93" s="77">
        <f>C27+C28</f>
        <v>137736</v>
      </c>
      <c r="D93" s="159">
        <f>C93/C91</f>
        <v>0.22616191719415779</v>
      </c>
      <c r="E93" s="252">
        <f>E91*D93</f>
        <v>137736</v>
      </c>
      <c r="F93" s="252">
        <f>F91*D93</f>
        <v>137736</v>
      </c>
    </row>
    <row r="94" spans="2:8" ht="13.9" x14ac:dyDescent="0.4">
      <c r="B94" s="104" t="s">
        <v>257</v>
      </c>
      <c r="C94" s="77">
        <f>C29</f>
        <v>12268</v>
      </c>
      <c r="D94" s="159">
        <f>C94/C91</f>
        <v>2.0144003021272054E-2</v>
      </c>
      <c r="E94" s="253"/>
      <c r="F94" s="252">
        <f>F91*D94</f>
        <v>12268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3776</v>
      </c>
      <c r="D97" s="159">
        <f>C97/C91</f>
        <v>6.2001756935379264E-3</v>
      </c>
      <c r="E97" s="253"/>
      <c r="F97" s="252">
        <f>F91*D97</f>
        <v>3776</v>
      </c>
    </row>
    <row r="98" spans="2:7" ht="13.9" x14ac:dyDescent="0.4">
      <c r="B98" s="86" t="s">
        <v>207</v>
      </c>
      <c r="C98" s="237">
        <f>C44</f>
        <v>3.1742792413587093</v>
      </c>
      <c r="D98" s="266"/>
      <c r="E98" s="254">
        <f>F98</f>
        <v>3.1742792413587093</v>
      </c>
      <c r="F98" s="254">
        <f>C98</f>
        <v>3.1742792413587093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0700.HK</v>
      </c>
      <c r="D3" s="278"/>
      <c r="E3" s="87"/>
      <c r="F3" s="3" t="s">
        <v>1</v>
      </c>
      <c r="G3" s="132">
        <v>409.6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騰訊控股</v>
      </c>
      <c r="D4" s="280"/>
      <c r="E4" s="87"/>
      <c r="F4" s="3" t="s">
        <v>2</v>
      </c>
      <c r="G4" s="283">
        <f>Inputs!C10</f>
        <v>9267407258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3795930.0128768003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0.51871628777616319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0.22616191719415779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6.2001756935379264E-3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3.8205428338350171</v>
      </c>
    </row>
    <row r="24" spans="1:8" ht="15.75" customHeight="1" x14ac:dyDescent="0.4">
      <c r="B24" s="137" t="s">
        <v>170</v>
      </c>
      <c r="C24" s="171">
        <f>Fin_Analysis!I81</f>
        <v>2.0144003021272054E-2</v>
      </c>
      <c r="F24" s="140" t="s">
        <v>259</v>
      </c>
      <c r="G24" s="268">
        <f>G3/(Fin_Analysis!H86*G7)</f>
        <v>33.914203753101035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0.28151438662242068</v>
      </c>
    </row>
    <row r="26" spans="1:8" ht="15.75" customHeight="1" x14ac:dyDescent="0.4">
      <c r="B26" s="138" t="s">
        <v>173</v>
      </c>
      <c r="C26" s="171">
        <f>Fin_Analysis!I83</f>
        <v>0.22877761631486909</v>
      </c>
      <c r="F26" s="141" t="s">
        <v>193</v>
      </c>
      <c r="G26" s="178">
        <f>Fin_Analysis!H88*Exchange_Rate/G3</f>
        <v>8.30078125E-3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72.440341517609923</v>
      </c>
      <c r="D29" s="129">
        <f>G29*(1+G20)</f>
        <v>146.27966742820368</v>
      </c>
      <c r="E29" s="87"/>
      <c r="F29" s="131">
        <f>IF(Fin_Analysis!C108="Profit",Fin_Analysis!F100,IF(Fin_Analysis!C108="Dividend",Fin_Analysis!F103,Fin_Analysis!F106))</f>
        <v>85.223931197188151</v>
      </c>
      <c r="G29" s="274">
        <f>IF(Fin_Analysis!C108="Profit",Fin_Analysis!I100,IF(Fin_Analysis!C108="Dividend",Fin_Analysis!I103,Fin_Analysis!I106))</f>
        <v>127.19971080713366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609015</v>
      </c>
      <c r="D6" s="200">
        <f>IF(Inputs!D25="","",Inputs!D25)</f>
        <v>554552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315906</v>
      </c>
      <c r="D8" s="199">
        <f>IF(Inputs!D26="","",Inputs!D26)</f>
        <v>315806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293109</v>
      </c>
      <c r="D9" s="151">
        <f t="shared" si="2"/>
        <v>238746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137736</v>
      </c>
      <c r="D10" s="199">
        <f>IF(Inputs!D27="","",Inputs!D27)</f>
        <v>135925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3776</v>
      </c>
      <c r="D12" s="199">
        <f>IF(Inputs!D30="","",MAX(Inputs!D30,0)/(1-Fin_Analysis!$I$84))</f>
        <v>621.33333333333337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0.24892161933614115</v>
      </c>
      <c r="D13" s="229">
        <f t="shared" si="3"/>
        <v>0.18429230562087356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151597</v>
      </c>
      <c r="D14" s="230">
        <f t="shared" ref="D14:M14" si="4">IF(D6="","",D9-D10-MAX(D11,0)-MAX(D12,0))</f>
        <v>102199.66666666667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0.48334143294661752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12268</v>
      </c>
      <c r="D17" s="199">
        <f>IF(Inputs!D29="","",Inputs!D29)</f>
        <v>9352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139329</v>
      </c>
      <c r="D22" s="161">
        <f t="shared" ref="D22:M22" si="8">IF(D6="","",D14-MAX(D16,0)-MAX(D17,0)-ABS(MAX(D21,0)-MAX(D19,0)))</f>
        <v>92847.666666666672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0.17158321223615181</v>
      </c>
      <c r="D23" s="153">
        <f t="shared" si="9"/>
        <v>0.12557118178277241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0.50061929396897431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521641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52250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4387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387826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339547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58461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254499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927597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66916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1152511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0.30171018928907634</v>
      </c>
      <c r="D40" s="155">
        <f>IF(D6="","",D14/MAX(D39,0))</f>
        <v>6.2984808450164782E-3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0.51871628777616319</v>
      </c>
      <c r="D42" s="156">
        <f t="shared" si="34"/>
        <v>0.56947950778285894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0.22616191719415779</v>
      </c>
      <c r="D43" s="153">
        <f t="shared" si="35"/>
        <v>0.2451077626624735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2.0144003021272054E-2</v>
      </c>
      <c r="D45" s="153">
        <f t="shared" si="37"/>
        <v>1.686406324384368E-2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6.2001756935379264E-3</v>
      </c>
      <c r="D46" s="153">
        <f t="shared" ref="D46:M46" si="38">IF(D6="","",MAX(D12,0)/D6)</f>
        <v>1.1204239337940056E-3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0.22877761631486909</v>
      </c>
      <c r="D48" s="153">
        <f t="shared" si="40"/>
        <v>0.16742824237702988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8.5794274361058437E-2</v>
      </c>
      <c r="D50" s="156">
        <f t="shared" si="41"/>
        <v>0.77753574056175079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7.2034350549658056E-3</v>
      </c>
      <c r="D51" s="153">
        <f t="shared" si="42"/>
        <v>4.071861610813774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0.43950826903206702</v>
      </c>
      <c r="D53" s="156">
        <f t="shared" ref="D53:M53" si="43">IF(D36="","",(D27-D36)/D27)</f>
        <v>0.27242491285597292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0.44519746932515336</v>
      </c>
      <c r="D54" s="157">
        <f t="shared" si="44"/>
        <v>5.6738563800966181E-2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8.8050585305284618E-2</v>
      </c>
      <c r="D55" s="153">
        <f t="shared" si="45"/>
        <v>0.10072412517995426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1.3450387544929943</v>
      </c>
      <c r="D56" s="158">
        <f t="shared" si="46"/>
        <v>3.055211094750502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860681</v>
      </c>
      <c r="K3" s="24"/>
    </row>
    <row r="4" spans="1:11" ht="15" customHeight="1" x14ac:dyDescent="0.4">
      <c r="B4" s="3" t="s">
        <v>24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1.3450387544929943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-273888.21033342334</v>
      </c>
      <c r="E6" s="56">
        <f>1-D6/D3</f>
        <v>1.2952663822041504</v>
      </c>
      <c r="F6" s="87"/>
      <c r="G6" s="87"/>
      <c r="H6" s="1" t="s">
        <v>29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353601</v>
      </c>
      <c r="D11" s="198">
        <f>Inputs!D48</f>
        <v>0.9</v>
      </c>
      <c r="E11" s="88">
        <f t="shared" ref="E11:E22" si="0">C11*D11</f>
        <v>318240.90000000002</v>
      </c>
      <c r="F11" s="112"/>
      <c r="G11" s="87"/>
      <c r="H11" s="3" t="s">
        <v>38</v>
      </c>
      <c r="I11" s="40">
        <f>Inputs!C73</f>
        <v>52462</v>
      </c>
      <c r="J11" s="87"/>
      <c r="K11" s="24"/>
    </row>
    <row r="12" spans="1:11" ht="13.9" x14ac:dyDescent="0.4">
      <c r="B12" s="1" t="s">
        <v>135</v>
      </c>
      <c r="C12" s="40">
        <f>Inputs!C49</f>
        <v>3408</v>
      </c>
      <c r="D12" s="198">
        <f>Inputs!D49</f>
        <v>0.8</v>
      </c>
      <c r="E12" s="88">
        <f t="shared" si="0"/>
        <v>2726.4</v>
      </c>
      <c r="F12" s="112"/>
      <c r="G12" s="87"/>
      <c r="H12" s="3" t="s">
        <v>39</v>
      </c>
      <c r="I12" s="40">
        <f>Inputs!C74</f>
        <v>5999</v>
      </c>
      <c r="J12" s="87"/>
      <c r="K12" s="24"/>
    </row>
    <row r="13" spans="1:11" ht="13.9" x14ac:dyDescent="0.4">
      <c r="B13" s="3" t="s">
        <v>116</v>
      </c>
      <c r="C13" s="40">
        <f>Inputs!C50</f>
        <v>52250</v>
      </c>
      <c r="D13" s="198">
        <f>Inputs!D50</f>
        <v>0.6</v>
      </c>
      <c r="E13" s="88">
        <f t="shared" si="0"/>
        <v>31350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9714</v>
      </c>
      <c r="D14" s="198">
        <f>Inputs!D51</f>
        <v>0.6</v>
      </c>
      <c r="E14" s="88">
        <f t="shared" si="0"/>
        <v>5828.4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5437</v>
      </c>
      <c r="D15" s="198">
        <f>Inputs!D52</f>
        <v>0.5</v>
      </c>
      <c r="E15" s="88">
        <f t="shared" si="0"/>
        <v>2718.5</v>
      </c>
      <c r="F15" s="112"/>
      <c r="G15" s="87"/>
      <c r="H15" s="1" t="s">
        <v>53</v>
      </c>
      <c r="I15" s="84">
        <f>SUM(I11:I14)</f>
        <v>58461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92844</v>
      </c>
      <c r="D17" s="198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4387</v>
      </c>
      <c r="D18" s="198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54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55</v>
      </c>
      <c r="I25" s="63">
        <f>E28/I28</f>
        <v>0.96007513678814749</v>
      </c>
    </row>
    <row r="26" spans="2:10" ht="15" customHeight="1" x14ac:dyDescent="0.4">
      <c r="B26" s="23" t="s">
        <v>56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57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6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51490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152946</v>
      </c>
      <c r="J30" s="87"/>
    </row>
    <row r="31" spans="2:10" ht="15" customHeight="1" x14ac:dyDescent="0.4">
      <c r="B31" s="3" t="s">
        <v>62</v>
      </c>
      <c r="C31" s="40">
        <f>Inputs!C61</f>
        <v>460284</v>
      </c>
      <c r="D31" s="198">
        <f>Inputs!D61</f>
        <v>0.6</v>
      </c>
      <c r="E31" s="88">
        <f t="shared" ref="E31:E42" si="1">C31*D31</f>
        <v>276170.39999999997</v>
      </c>
      <c r="F31" s="112"/>
      <c r="G31" s="87"/>
      <c r="H31" s="3" t="s">
        <v>63</v>
      </c>
      <c r="I31" s="40">
        <f>Inputs!C79</f>
        <v>14979</v>
      </c>
      <c r="J31" s="87"/>
    </row>
    <row r="32" spans="2:10" ht="15" customHeight="1" x14ac:dyDescent="0.4">
      <c r="B32" s="3" t="s">
        <v>64</v>
      </c>
      <c r="C32" s="40">
        <f>Inputs!C62</f>
        <v>1144</v>
      </c>
      <c r="D32" s="198">
        <f>Inputs!D62</f>
        <v>0.5</v>
      </c>
      <c r="E32" s="88">
        <f t="shared" si="1"/>
        <v>572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86574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254499</v>
      </c>
      <c r="J34" s="87"/>
    </row>
    <row r="35" spans="2:10" ht="13.9" x14ac:dyDescent="0.4">
      <c r="B35" s="3" t="s">
        <v>69</v>
      </c>
      <c r="C35" s="40">
        <f>Inputs!C65</f>
        <v>270182</v>
      </c>
      <c r="D35" s="198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659</v>
      </c>
      <c r="D36" s="198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13463</v>
      </c>
      <c r="D37" s="198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127220</v>
      </c>
      <c r="D38" s="198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177621</v>
      </c>
      <c r="D40" s="198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31266</v>
      </c>
      <c r="D41" s="198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80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82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84</v>
      </c>
      <c r="I48" s="207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85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66916</v>
      </c>
      <c r="D53" s="29">
        <f>IF(E53=0, 0,E53/C53)</f>
        <v>3.8205428338350171</v>
      </c>
      <c r="E53" s="88">
        <f>IF(C53=0,0,MAX(C53,C53*Dashboard!G23))</f>
        <v>255655.44426890402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312960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609015</v>
      </c>
      <c r="D74" s="209"/>
      <c r="E74" s="238">
        <f>Inputs!E91</f>
        <v>609015</v>
      </c>
      <c r="F74" s="209"/>
      <c r="H74" s="238">
        <f>Inputs!F91</f>
        <v>609015</v>
      </c>
      <c r="I74" s="209"/>
      <c r="K74" s="24"/>
    </row>
    <row r="75" spans="1:11" ht="15" customHeight="1" x14ac:dyDescent="0.4">
      <c r="B75" s="104" t="s">
        <v>105</v>
      </c>
      <c r="C75" s="77">
        <f>Data!C8</f>
        <v>315906</v>
      </c>
      <c r="D75" s="159">
        <f>C75/$C$74</f>
        <v>0.51871628777616319</v>
      </c>
      <c r="E75" s="238">
        <f>Inputs!E92</f>
        <v>315906</v>
      </c>
      <c r="F75" s="160">
        <f>E75/E74</f>
        <v>0.51871628777616319</v>
      </c>
      <c r="H75" s="238">
        <f>Inputs!F92</f>
        <v>315906</v>
      </c>
      <c r="I75" s="160">
        <f>H75/$H$74</f>
        <v>0.51871628777616319</v>
      </c>
      <c r="K75" s="24"/>
    </row>
    <row r="76" spans="1:11" ht="15" customHeight="1" x14ac:dyDescent="0.4">
      <c r="B76" s="35" t="s">
        <v>95</v>
      </c>
      <c r="C76" s="161">
        <f>C74-C75</f>
        <v>293109</v>
      </c>
      <c r="D76" s="210"/>
      <c r="E76" s="162">
        <f>E74-E75</f>
        <v>293109</v>
      </c>
      <c r="F76" s="210"/>
      <c r="H76" s="162">
        <f>H74-H75</f>
        <v>293109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137736</v>
      </c>
      <c r="D77" s="159">
        <f>C77/$C$74</f>
        <v>0.22616191719415779</v>
      </c>
      <c r="E77" s="238">
        <f>Inputs!E93</f>
        <v>137736</v>
      </c>
      <c r="F77" s="160">
        <f>E77/E74</f>
        <v>0.22616191719415779</v>
      </c>
      <c r="H77" s="238">
        <f>Inputs!F93</f>
        <v>137736</v>
      </c>
      <c r="I77" s="160">
        <f>H77/$H$74</f>
        <v>0.22616191719415779</v>
      </c>
      <c r="K77" s="24"/>
    </row>
    <row r="78" spans="1:11" ht="15" customHeight="1" x14ac:dyDescent="0.4">
      <c r="B78" s="73" t="s">
        <v>172</v>
      </c>
      <c r="C78" s="77">
        <f>MAX(Data!C12,0)</f>
        <v>3776</v>
      </c>
      <c r="D78" s="159">
        <f>C78/$C$74</f>
        <v>6.2001756935379264E-3</v>
      </c>
      <c r="E78" s="180">
        <f>E74*F78</f>
        <v>3776</v>
      </c>
      <c r="F78" s="160">
        <f>I78</f>
        <v>6.2001756935379264E-3</v>
      </c>
      <c r="H78" s="238">
        <f>Inputs!F97</f>
        <v>3776</v>
      </c>
      <c r="I78" s="160">
        <f>H78/$H$74</f>
        <v>6.2001756935379264E-3</v>
      </c>
      <c r="K78" s="24"/>
    </row>
    <row r="79" spans="1:11" ht="15" customHeight="1" x14ac:dyDescent="0.4">
      <c r="B79" s="256" t="s">
        <v>232</v>
      </c>
      <c r="C79" s="257">
        <f>C76-C77-C78</f>
        <v>151597</v>
      </c>
      <c r="D79" s="258">
        <f>C79/C74</f>
        <v>0.24892161933614115</v>
      </c>
      <c r="E79" s="259">
        <f>E76-E77-E78</f>
        <v>151597</v>
      </c>
      <c r="F79" s="258">
        <f>E79/E74</f>
        <v>0.24892161933614115</v>
      </c>
      <c r="G79" s="260"/>
      <c r="H79" s="259">
        <f>H76-H77-H78</f>
        <v>151597</v>
      </c>
      <c r="I79" s="258">
        <f>H79/H74</f>
        <v>0.24892161933614115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12268</v>
      </c>
      <c r="D81" s="159">
        <f>C81/$C$74</f>
        <v>2.0144003021272054E-2</v>
      </c>
      <c r="E81" s="180">
        <f>E74*F81</f>
        <v>12268</v>
      </c>
      <c r="F81" s="160">
        <f>I81</f>
        <v>2.0144003021272054E-2</v>
      </c>
      <c r="H81" s="238">
        <f>Inputs!F94</f>
        <v>12268</v>
      </c>
      <c r="I81" s="160">
        <f>H81/$H$74</f>
        <v>2.0144003021272054E-2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139329</v>
      </c>
      <c r="D83" s="164">
        <f>C83/$C$74</f>
        <v>0.22877761631486909</v>
      </c>
      <c r="E83" s="165">
        <f>E79-E81-E82-E80</f>
        <v>139329</v>
      </c>
      <c r="F83" s="164">
        <f>E83/E74</f>
        <v>0.22877761631486909</v>
      </c>
      <c r="H83" s="165">
        <f>H79-H81-H82-H80</f>
        <v>139329</v>
      </c>
      <c r="I83" s="164">
        <f>H83/$H$74</f>
        <v>0.22877761631486909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104496.75</v>
      </c>
      <c r="D85" s="258">
        <f>C85/$C$74</f>
        <v>0.17158321223615181</v>
      </c>
      <c r="E85" s="264">
        <f>E83*(1-F84)</f>
        <v>104496.75</v>
      </c>
      <c r="F85" s="258">
        <f>E85/E74</f>
        <v>0.17158321223615181</v>
      </c>
      <c r="G85" s="260"/>
      <c r="H85" s="264">
        <f>H83*(1-I84)</f>
        <v>104496.75</v>
      </c>
      <c r="I85" s="258">
        <f>H85/$H$74</f>
        <v>0.17158321223615181</v>
      </c>
      <c r="K85" s="24"/>
    </row>
    <row r="86" spans="1:11" ht="15" customHeight="1" x14ac:dyDescent="0.4">
      <c r="B86" s="87" t="s">
        <v>160</v>
      </c>
      <c r="C86" s="167">
        <f>C85*Data!C4/Common_Shares</f>
        <v>11.275726542587647</v>
      </c>
      <c r="D86" s="209"/>
      <c r="E86" s="168">
        <f>E85*Data!C4/Common_Shares</f>
        <v>11.275726542587647</v>
      </c>
      <c r="F86" s="209"/>
      <c r="H86" s="168">
        <f>H85*Data!C4/Common_Shares</f>
        <v>11.275726542587647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2.9486170669967813E-2</v>
      </c>
      <c r="D87" s="209"/>
      <c r="E87" s="262">
        <f>E86*Exchange_Rate/Dashboard!G3</f>
        <v>2.9486170669967813E-2</v>
      </c>
      <c r="F87" s="209"/>
      <c r="H87" s="262">
        <f>H86*Exchange_Rate/Dashboard!G3</f>
        <v>2.9486170669967813E-2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3.1742792413587093</v>
      </c>
      <c r="D88" s="166">
        <f>C88/C86</f>
        <v>0.28151438662242068</v>
      </c>
      <c r="E88" s="170">
        <f>Inputs!E98</f>
        <v>3.1742792413587093</v>
      </c>
      <c r="F88" s="166">
        <f>E88/E86</f>
        <v>0.28151438662242068</v>
      </c>
      <c r="H88" s="170">
        <f>Inputs!F98</f>
        <v>3.1742792413587093</v>
      </c>
      <c r="I88" s="166">
        <f>H88/H86</f>
        <v>0.28151438662242068</v>
      </c>
      <c r="K88" s="24"/>
    </row>
    <row r="89" spans="1:11" ht="15" customHeight="1" x14ac:dyDescent="0.4">
      <c r="B89" s="87" t="s">
        <v>221</v>
      </c>
      <c r="C89" s="261">
        <f>C88*Exchange_Rate/Dashboard!G3</f>
        <v>8.30078125E-3</v>
      </c>
      <c r="D89" s="209"/>
      <c r="E89" s="261">
        <f>E88*Exchange_Rate/Dashboard!G3</f>
        <v>8.30078125E-3</v>
      </c>
      <c r="F89" s="209"/>
      <c r="H89" s="261">
        <f>H88*Exchange_Rate/Dashboard!G3</f>
        <v>8.30078125E-3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230.84769013079614</v>
      </c>
      <c r="H93" s="87" t="s">
        <v>209</v>
      </c>
      <c r="I93" s="144">
        <f>FV(H87,D93,0,-(H86/(C93-D94)))*Exchange_Rate</f>
        <v>230.84769013079614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58.569843128924909</v>
      </c>
      <c r="H94" s="87" t="s">
        <v>210</v>
      </c>
      <c r="I94" s="144">
        <f>FV(H89,D93,0,-(H88/(C93-D94)))*Exchange_Rate</f>
        <v>58.569843128924909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1063639.8011781166</v>
      </c>
      <c r="D97" s="213"/>
      <c r="E97" s="123">
        <f>PV(C94,D93,0,-F93)</f>
        <v>114.77210093038047</v>
      </c>
      <c r="F97" s="213"/>
      <c r="H97" s="123">
        <f>PV(C94,D93,0,-I93)</f>
        <v>114.77210093038047</v>
      </c>
      <c r="I97" s="123">
        <f>PV(C93,D93,0,-I93)</f>
        <v>156.74788054032598</v>
      </c>
      <c r="K97" s="24"/>
    </row>
    <row r="98" spans="2:11" ht="15" customHeight="1" x14ac:dyDescent="0.4">
      <c r="B98" s="28" t="s">
        <v>144</v>
      </c>
      <c r="C98" s="91">
        <f>E53*Exchange_Rate</f>
        <v>273834.92264600249</v>
      </c>
      <c r="D98" s="213"/>
      <c r="E98" s="213"/>
      <c r="F98" s="213"/>
      <c r="H98" s="123">
        <f>C98*Data!$C$4/Common_Shares</f>
        <v>29.548169733192328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789804.87853211409</v>
      </c>
      <c r="D100" s="109">
        <f>MIN(F100*(1-C94),E100)</f>
        <v>72.440341517609923</v>
      </c>
      <c r="E100" s="109">
        <f>MAX(E97-H98+E99,0)</f>
        <v>85.223931197188151</v>
      </c>
      <c r="F100" s="109">
        <f>(E100+H100)/2</f>
        <v>85.223931197188151</v>
      </c>
      <c r="H100" s="109">
        <f>MAX(C100*Data!$C$4/Common_Shares,0)</f>
        <v>85.223931197188151</v>
      </c>
      <c r="I100" s="109">
        <f>MAX(I97-H98+H99,0)</f>
        <v>127.19971080713366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269862.85314523248</v>
      </c>
      <c r="D103" s="109">
        <f>MIN(F103*(1-C94),E103)</f>
        <v>24.751628884706083</v>
      </c>
      <c r="E103" s="123">
        <f>PV(C94,D93,0,-F94)</f>
        <v>29.119563393771863</v>
      </c>
      <c r="F103" s="109">
        <f>(E103+H103)/2</f>
        <v>29.119563393771863</v>
      </c>
      <c r="H103" s="123">
        <f>PV(C94,D93,0,-I94)</f>
        <v>29.119563393771863</v>
      </c>
      <c r="I103" s="109">
        <f>PV(C93,D93,0,-I94)</f>
        <v>39.769506763687588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529833.86583867332</v>
      </c>
      <c r="D106" s="109">
        <f>(D100+D103)/2</f>
        <v>48.595985201158001</v>
      </c>
      <c r="E106" s="123">
        <f>(E100+E103)/2</f>
        <v>57.171747295480003</v>
      </c>
      <c r="F106" s="109">
        <f>(F100+F103)/2</f>
        <v>57.171747295480003</v>
      </c>
      <c r="H106" s="123">
        <f>(H100+H103)/2</f>
        <v>57.171747295480003</v>
      </c>
      <c r="I106" s="123">
        <f>(I100+I103)/2</f>
        <v>83.484608785410614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