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F29143-644B-4FFA-AA44-A2B095233D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<sst xmlns="http://schemas.openxmlformats.org/spreadsheetml/2006/main" count="390" uniqueCount="269">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</sst>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6.83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208985.18927634999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0.14098949013733544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23.78459570619744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2.3358146776246791</v>
      </c>
      <c r="D29" s="129">
        <f>G29*(1+G20)</f>
        <v>4.3796894067102157</v>
      </c>
      <c r="E29" s="87"/>
      <c r="F29" s="131">
        <f>IF(Fin_Analysis!C108="Profit",Fin_Analysis!F100,IF(Fin_Analysis!C108="Dividend",Fin_Analysis!F103,Fin_Analysis!F106))</f>
        <v>2.74801726779374</v>
      </c>
      <c r="G29" s="274">
        <f>IF(Fin_Analysis!C108="Profit",Fin_Analysis!I100,IF(Fin_Analysis!C108="Dividend",Fin_Analysis!I103,Fin_Analysis!I106))</f>
        <v>3.808425571052362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0.31546091797268211</v>
      </c>
      <c r="D53" s="156">
        <f t="shared" ref="D53:M53" si="43">IF(D36="","",(D27-D36)/D27)</f>
        <v>0.32452750272625946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0.11432702693285954</v>
      </c>
      <c r="D54" s="157">
        <f t="shared" si="44"/>
        <v>9.8308948776238456E-2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0.18111724011824573</v>
      </c>
      <c r="D55" s="153">
        <f t="shared" si="45"/>
        <v>0.10820870940114637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0.96378562214143304</v>
      </c>
      <c r="D56" s="158">
        <f t="shared" si="46"/>
        <v>0.89175655474295745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-25359.744332242037</v>
      </c>
      <c r="E6" s="56">
        <f>1-D6/D3</f>
        <v>1.0183252492340258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4.2044019261569143E-2</v>
      </c>
      <c r="D87" s="209"/>
      <c r="E87" s="262">
        <f>E86*Exchange_Rate/Dashboard!G3</f>
        <v>4.2044019261569143E-2</v>
      </c>
      <c r="F87" s="209"/>
      <c r="H87" s="262">
        <f>H86*Exchange_Rate/Dashboard!G3</f>
        <v>4.2044019261569143E-2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5.8317632138694089</v>
      </c>
      <c r="H93" s="87" t="s">
        <v>209</v>
      </c>
      <c r="I93" s="144">
        <f>FV(H87,D93,0,-(H86/(C93-D94)))*Exchange_Rate</f>
        <v>5.8317632138694089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88716.721762565139</v>
      </c>
      <c r="D97" s="213"/>
      <c r="E97" s="123">
        <f>PV(C94,D93,0,-F93)</f>
        <v>2.8994169957042555</v>
      </c>
      <c r="F97" s="213"/>
      <c r="H97" s="123">
        <f>PV(C94,D93,0,-I93)</f>
        <v>2.8994169957042555</v>
      </c>
      <c r="I97" s="123">
        <f>PV(C93,D93,0,-I93)</f>
        <v>3.9598252989628775</v>
      </c>
      <c r="K97" s="24"/>
    </row>
    <row r="98" spans="2:11" ht="15" customHeight="1" x14ac:dyDescent="0.4">
      <c r="B98" s="28" t="s">
        <v>144</v>
      </c>
      <c r="C98" s="91">
        <f>E53*Exchange_Rate</f>
        <v>4632.5477004051208</v>
      </c>
      <c r="D98" s="213"/>
      <c r="E98" s="213"/>
      <c r="F98" s="213"/>
      <c r="H98" s="123">
        <f>C98*Data!$C$4/Common_Shares</f>
        <v>0.15139972791051551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84084.174062160018</v>
      </c>
      <c r="D100" s="109">
        <f>MIN(F100*(1-C94),E100)</f>
        <v>2.3358146776246791</v>
      </c>
      <c r="E100" s="109">
        <f>MAX(E97-H98+E99,0)</f>
        <v>2.74801726779374</v>
      </c>
      <c r="F100" s="109">
        <f>(E100+H100)/2</f>
        <v>2.74801726779374</v>
      </c>
      <c r="H100" s="109">
        <f>MAX(C100*Data!$C$4/Common_Shares,0)</f>
        <v>2.74801726779374</v>
      </c>
      <c r="I100" s="109">
        <f>MAX(I97-H98+H99,0)</f>
        <v>3.808425571052362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42042.087031080009</v>
      </c>
      <c r="D106" s="109">
        <f>(D100+D103)/2</f>
        <v>1.1679073388123395</v>
      </c>
      <c r="E106" s="123">
        <f>(E100+E103)/2</f>
        <v>1.37400863389687</v>
      </c>
      <c r="F106" s="109">
        <f>(F100+F103)/2</f>
        <v>1.37400863389687</v>
      </c>
      <c r="H106" s="123">
        <f>(H100+H103)/2</f>
        <v>1.37400863389687</v>
      </c>
      <c r="I106" s="123">
        <f>(I100+I103)/2</f>
        <v>1.904212785526181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