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0EC819-A586-4462-B833-AD73503C49E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E93" i="4"/>
  <c r="F92" i="4"/>
  <c r="F91" i="4"/>
  <c r="F97" i="4" s="1"/>
  <c r="E91" i="4"/>
  <c r="E92" i="4" s="1"/>
  <c r="D71" i="4"/>
  <c r="D69" i="4"/>
  <c r="D68" i="4"/>
  <c r="C68" i="4"/>
  <c r="D67" i="4"/>
  <c r="C65" i="4"/>
  <c r="D63" i="4"/>
  <c r="D62" i="4"/>
  <c r="D61" i="4"/>
  <c r="D60" i="4"/>
  <c r="D59" i="4"/>
  <c r="D58" i="4"/>
  <c r="C58" i="4"/>
  <c r="D55" i="4"/>
  <c r="D53" i="4"/>
  <c r="D50" i="4"/>
  <c r="D56" i="4" s="1"/>
  <c r="C50" i="4"/>
  <c r="F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<sst xmlns="http://schemas.openxmlformats.org/spreadsheetml/2006/main" count="390" uniqueCount="269">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</sst>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265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267</v>
      </c>
    </row>
    <row r="10" spans="1:5" ht="13.9" x14ac:dyDescent="0.4">
      <c r="B10" s="140" t="s">
        <v>218</v>
      </c>
      <c r="C10" s="193">
        <v>1826710016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0.30303030303030304</v>
      </c>
      <c r="D45" s="152">
        <f>IF(D44="","",D44*Exchange_Rate/Dashboard!$G$3)</f>
        <v>2.0606013976775698E-2</v>
      </c>
      <c r="E45" s="152">
        <f>IF(E44="","",E44*Exchange_Rate/Dashboard!$G$3)</f>
        <v>4.8484848484848492E-2</v>
      </c>
      <c r="F45" s="152">
        <f>IF(F44="","",F44*Exchange_Rate/Dashboard!$G$3)</f>
        <v>0.20606060606060608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922361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179879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27002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512565+1009</f>
        <v>513574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187576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11428</v>
      </c>
      <c r="D70" s="60">
        <v>0.05</v>
      </c>
      <c r="E70" s="112"/>
    </row>
    <row r="71" spans="2:5" ht="13.9" x14ac:dyDescent="0.4">
      <c r="B71" s="3" t="s">
        <v>75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7278</v>
      </c>
      <c r="D72" s="248">
        <v>0</v>
      </c>
      <c r="E72" s="249"/>
    </row>
    <row r="73" spans="2:5" ht="13.9" x14ac:dyDescent="0.4">
      <c r="B73" s="3" t="s">
        <v>39</v>
      </c>
      <c r="C73" s="59">
        <v>1149</v>
      </c>
    </row>
    <row r="74" spans="2:5" ht="13.9" x14ac:dyDescent="0.4">
      <c r="B74" s="3" t="s">
        <v>40</v>
      </c>
      <c r="C74" s="59">
        <v>13306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62</v>
      </c>
      <c r="C78" s="59">
        <v>70891</v>
      </c>
    </row>
    <row r="79" spans="2:5" ht="13.9" x14ac:dyDescent="0.4">
      <c r="B79" s="3" t="s">
        <v>64</v>
      </c>
      <c r="C79" s="59">
        <v>24307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95903</v>
      </c>
    </row>
    <row r="83" spans="2:8" ht="14.25" thickTop="1" x14ac:dyDescent="0.4">
      <c r="B83" s="73" t="s">
        <v>221</v>
      </c>
      <c r="C83" s="59">
        <v>3570139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106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248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258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0806.HK</v>
      </c>
      <c r="D3" s="278"/>
      <c r="E3" s="87"/>
      <c r="F3" s="3" t="s">
        <v>1</v>
      </c>
      <c r="G3" s="132">
        <v>1.65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VALUE PARTNERS</v>
      </c>
      <c r="D4" s="280"/>
      <c r="E4" s="87"/>
      <c r="F4" s="3" t="s">
        <v>3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45636</v>
      </c>
      <c r="D5" s="282"/>
      <c r="E5" s="34"/>
      <c r="F5" s="35" t="s">
        <v>100</v>
      </c>
      <c r="G5" s="275">
        <f>G3*G4/1000000</f>
        <v>3014.0715263999996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0.45236920614696147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0.84424486732869497</v>
      </c>
    </row>
    <row r="24" spans="1:8" ht="15.75" customHeight="1" x14ac:dyDescent="0.4">
      <c r="B24" s="137" t="s">
        <v>171</v>
      </c>
      <c r="C24" s="171">
        <f>Fin_Analysis!I81</f>
        <v>1.4464238544369687E-2</v>
      </c>
      <c r="F24" s="140" t="s">
        <v>261</v>
      </c>
      <c r="G24" s="268">
        <f>G3/(Fin_Analysis!H86*G7)</f>
        <v>-34.710630038262551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-0.63110236433204636</v>
      </c>
    </row>
    <row r="26" spans="1:8" ht="15.75" customHeight="1" x14ac:dyDescent="0.4">
      <c r="B26" s="138" t="s">
        <v>174</v>
      </c>
      <c r="C26" s="171">
        <f>Fin_Analysis!I83</f>
        <v>-0.22487647031402955</v>
      </c>
      <c r="F26" s="141" t="s">
        <v>194</v>
      </c>
      <c r="G26" s="178">
        <f>Fin_Analysis!H88*Exchange_Rate/G3</f>
        <v>1.8181818181818181E-2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0.51467404955036977</v>
      </c>
      <c r="D29" s="129">
        <f>G29*(1+G20)</f>
        <v>0.64229607709025649</v>
      </c>
      <c r="E29" s="87"/>
      <c r="F29" s="131">
        <f>IF(Fin_Analysis!C108="Profit",Fin_Analysis!F100,IF(Fin_Analysis!C108="Dividend",Fin_Analysis!F103,Fin_Analysis!F106))</f>
        <v>0.6054988818239645</v>
      </c>
      <c r="G29" s="274">
        <f>IF(Fin_Analysis!C108="Profit",Fin_Analysis!I100,IF(Fin_Analysis!C108="Dividend",Fin_Analysis!I103,Fin_Analysis!I106))</f>
        <v>0.5585183279045709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0.28061826996286338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5.0735797353543811E-2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-1.0558671445377692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-6.4320818110365441E-2</v>
      </c>
      <c r="D55" s="153">
        <f t="shared" si="45"/>
        <v>-3.5130919589818468E-2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13.425836564396494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3570139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13.425836564396494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1893640.4</v>
      </c>
      <c r="E6" s="56">
        <f>1-D6/D3</f>
        <v>0.46958916725651301</v>
      </c>
      <c r="F6" s="87"/>
      <c r="G6" s="87"/>
      <c r="H6" s="1" t="s">
        <v>30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31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39</v>
      </c>
      <c r="I11" s="40">
        <f>Inputs!C73</f>
        <v>1149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13306</v>
      </c>
      <c r="J12" s="87"/>
      <c r="K12" s="24"/>
    </row>
    <row r="13" spans="1:11" ht="13.9" x14ac:dyDescent="0.4">
      <c r="B13" s="3" t="s">
        <v>117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14455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55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56</v>
      </c>
      <c r="I25" s="63">
        <f>E28/I28</f>
        <v>10.830421864463924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60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70891</v>
      </c>
      <c r="J30" s="87"/>
    </row>
    <row r="31" spans="2:10" ht="15" customHeight="1" x14ac:dyDescent="0.4">
      <c r="B31" s="3" t="s">
        <v>63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64</v>
      </c>
      <c r="I31" s="40">
        <f>Inputs!C79</f>
        <v>24307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95198</v>
      </c>
      <c r="J34" s="87"/>
    </row>
    <row r="35" spans="2:10" ht="13.9" x14ac:dyDescent="0.4">
      <c r="B35" s="3" t="s">
        <v>70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81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83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85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86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109653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106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96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161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-2.8809618232157427E-2</v>
      </c>
      <c r="D87" s="209"/>
      <c r="E87" s="262">
        <f>E86*Exchange_Rate/Dashboard!G3</f>
        <v>-2.8809618232157427E-2</v>
      </c>
      <c r="F87" s="209"/>
      <c r="H87" s="262">
        <f>H86*Exchange_Rate/Dashboard!G3</f>
        <v>-2.8809618232157427E-2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222</v>
      </c>
      <c r="C89" s="261">
        <f>C88*Exchange_Rate/Dashboard!G3</f>
        <v>0.30303030303030304</v>
      </c>
      <c r="D89" s="209"/>
      <c r="E89" s="261">
        <f>E88*Exchange_Rate/Dashboard!G3</f>
        <v>0</v>
      </c>
      <c r="F89" s="209"/>
      <c r="H89" s="261">
        <f>H88*Exchange_Rate/Dashboard!G3</f>
        <v>1.8181818181818181E-2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-0.67887206210499773</v>
      </c>
      <c r="H93" s="87" t="s">
        <v>210</v>
      </c>
      <c r="I93" s="144">
        <f>FV(H87,D93,0,-(H86/(C93-D94)))*Exchange_Rate</f>
        <v>-0.67887206210499773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0.5426159650982687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-616550.0603953636</v>
      </c>
      <c r="D97" s="213"/>
      <c r="E97" s="123">
        <f>PV(C94,D93,0,-F93)</f>
        <v>-0.33751939552258065</v>
      </c>
      <c r="F97" s="213"/>
      <c r="H97" s="123">
        <f>PV(C94,D93,0,-I93)</f>
        <v>-0.33751939552258065</v>
      </c>
      <c r="I97" s="123">
        <f>PV(C93,D93,0,-I93)</f>
        <v>-0.46096089084845088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1245742.8396046362</v>
      </c>
      <c r="D100" s="109">
        <f>MIN(F100*(1-C94),E100)</f>
        <v>0.51467404955036977</v>
      </c>
      <c r="E100" s="109">
        <f>MAX(E97-H98+E99,0)</f>
        <v>0.52903794041748786</v>
      </c>
      <c r="F100" s="109">
        <f>(E100+H100)/2</f>
        <v>0.6054988818239645</v>
      </c>
      <c r="H100" s="109">
        <f>MAX(C100*Data!$C$4/Common_Shares,0)</f>
        <v>0.68195982323044113</v>
      </c>
      <c r="I100" s="109">
        <f>MAX(I97-H98+H99,0)</f>
        <v>0.5585183279045709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492802.58347276482</v>
      </c>
      <c r="D103" s="109">
        <f>MIN(F103*(1-C94),E103)</f>
        <v>0</v>
      </c>
      <c r="E103" s="123">
        <f>PV(C94,D93,0,-F94)</f>
        <v>0</v>
      </c>
      <c r="F103" s="109">
        <f>(E103+H103)/2</f>
        <v>0.13488801702414402</v>
      </c>
      <c r="H103" s="123">
        <f>PV(C94,D93,0,-I94)</f>
        <v>0.26977603404828804</v>
      </c>
      <c r="I103" s="109">
        <f>PV(C93,D93,0,-I94)</f>
        <v>0.36844164404810098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483199.45230231818</v>
      </c>
      <c r="D106" s="109">
        <f>(D100+D103)/2</f>
        <v>0.25733702477518489</v>
      </c>
      <c r="E106" s="123">
        <f>(E100+E103)/2</f>
        <v>0.26451897020874393</v>
      </c>
      <c r="F106" s="109">
        <f>(F100+F103)/2</f>
        <v>0.37019344942405424</v>
      </c>
      <c r="H106" s="123">
        <f>(H100+H103)/2</f>
        <v>0.47586792863936456</v>
      </c>
      <c r="I106" s="123">
        <f>(I100+I103)/2</f>
        <v>0.46347998597633594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